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324\"/>
    </mc:Choice>
  </mc:AlternateContent>
  <xr:revisionPtr revIDLastSave="0" documentId="13_ncr:1_{1D18E26E-3D3E-490A-B969-DBEB5865A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OVERY" sheetId="1" r:id="rId1"/>
    <sheet name="ALLOC" sheetId="2" state="hidden" r:id="rId2"/>
  </sheets>
  <definedNames>
    <definedName name="_xlnm._FilterDatabase" localSheetId="1" hidden="1">ALLOC!$A$6:$AO$337</definedName>
    <definedName name="Data">ALLOC!$B$7:$AO$337</definedName>
    <definedName name="DISNAME">ALLOC!$A$7:$A$337</definedName>
    <definedName name="_xlnm.Print_Area" localSheetId="0">RECOVERY!$A$6:$G$108</definedName>
    <definedName name="_xlnm.Print_Titles" localSheetId="0">RECOVERY!$6:$9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2" l="1"/>
  <c r="D6" i="2" l="1"/>
  <c r="E6" i="2"/>
  <c r="F6" i="2"/>
  <c r="G6" i="2"/>
  <c r="H6" i="2"/>
  <c r="I6" i="2"/>
  <c r="J6" i="2"/>
  <c r="K6" i="2"/>
  <c r="L6" i="2"/>
  <c r="M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I6" i="2"/>
  <c r="AJ6" i="2"/>
  <c r="A4" i="2"/>
  <c r="AL247" i="2"/>
  <c r="AK247" i="2"/>
  <c r="AG247" i="2"/>
  <c r="AF247" i="2"/>
  <c r="C247" i="2"/>
  <c r="AL211" i="2"/>
  <c r="AK211" i="2"/>
  <c r="AG211" i="2"/>
  <c r="AF211" i="2"/>
  <c r="C211" i="2"/>
  <c r="AL118" i="2"/>
  <c r="AK118" i="2"/>
  <c r="AG118" i="2"/>
  <c r="AF118" i="2"/>
  <c r="C118" i="2"/>
  <c r="AM247" i="2" l="1"/>
  <c r="AM118" i="2"/>
  <c r="AH211" i="2"/>
  <c r="AM211" i="2"/>
  <c r="AH247" i="2"/>
  <c r="AH118" i="2"/>
  <c r="AL337" i="2" l="1"/>
  <c r="AK337" i="2"/>
  <c r="AL336" i="2"/>
  <c r="AK336" i="2"/>
  <c r="AL335" i="2"/>
  <c r="AK335" i="2"/>
  <c r="AL334" i="2"/>
  <c r="AK334" i="2"/>
  <c r="AL333" i="2"/>
  <c r="AK333" i="2"/>
  <c r="AL332" i="2"/>
  <c r="AK332" i="2"/>
  <c r="AL331" i="2"/>
  <c r="AK331" i="2"/>
  <c r="AL330" i="2"/>
  <c r="AK330" i="2"/>
  <c r="AL329" i="2"/>
  <c r="AK329" i="2"/>
  <c r="AL328" i="2"/>
  <c r="AK328" i="2"/>
  <c r="AL327" i="2"/>
  <c r="AK327" i="2"/>
  <c r="AL326" i="2"/>
  <c r="AK326" i="2"/>
  <c r="AL325" i="2"/>
  <c r="AK325" i="2"/>
  <c r="AL324" i="2"/>
  <c r="AK324" i="2"/>
  <c r="AL323" i="2"/>
  <c r="AK323" i="2"/>
  <c r="AL322" i="2"/>
  <c r="AK322" i="2"/>
  <c r="AL321" i="2"/>
  <c r="AK321" i="2"/>
  <c r="AL320" i="2"/>
  <c r="AK320" i="2"/>
  <c r="AL319" i="2"/>
  <c r="AK319" i="2"/>
  <c r="AL318" i="2"/>
  <c r="AK318" i="2"/>
  <c r="AL317" i="2"/>
  <c r="AK317" i="2"/>
  <c r="AL316" i="2"/>
  <c r="AK316" i="2"/>
  <c r="AL315" i="2"/>
  <c r="AK315" i="2"/>
  <c r="AL314" i="2"/>
  <c r="AK314" i="2"/>
  <c r="AL313" i="2"/>
  <c r="AK313" i="2"/>
  <c r="AL312" i="2"/>
  <c r="AK312" i="2"/>
  <c r="AL311" i="2"/>
  <c r="AK311" i="2"/>
  <c r="AL310" i="2"/>
  <c r="AK310" i="2"/>
  <c r="AL309" i="2"/>
  <c r="AK309" i="2"/>
  <c r="AL308" i="2"/>
  <c r="AK308" i="2"/>
  <c r="AL307" i="2"/>
  <c r="AK307" i="2"/>
  <c r="AL306" i="2"/>
  <c r="AK306" i="2"/>
  <c r="AL305" i="2"/>
  <c r="AK305" i="2"/>
  <c r="AL304" i="2"/>
  <c r="AK304" i="2"/>
  <c r="AL303" i="2"/>
  <c r="AK303" i="2"/>
  <c r="AL302" i="2"/>
  <c r="AK302" i="2"/>
  <c r="AL301" i="2"/>
  <c r="AK301" i="2"/>
  <c r="AL300" i="2"/>
  <c r="AK300" i="2"/>
  <c r="AL299" i="2"/>
  <c r="AK299" i="2"/>
  <c r="AL298" i="2"/>
  <c r="AK298" i="2"/>
  <c r="AL297" i="2"/>
  <c r="AK297" i="2"/>
  <c r="AL296" i="2"/>
  <c r="AK296" i="2"/>
  <c r="AL295" i="2"/>
  <c r="AK295" i="2"/>
  <c r="AL294" i="2"/>
  <c r="AK294" i="2"/>
  <c r="AL293" i="2"/>
  <c r="AK293" i="2"/>
  <c r="AL292" i="2"/>
  <c r="AK292" i="2"/>
  <c r="AL291" i="2"/>
  <c r="AK291" i="2"/>
  <c r="AL290" i="2"/>
  <c r="AK290" i="2"/>
  <c r="AL289" i="2"/>
  <c r="AK289" i="2"/>
  <c r="AL288" i="2"/>
  <c r="AK288" i="2"/>
  <c r="AL287" i="2"/>
  <c r="AK287" i="2"/>
  <c r="AL286" i="2"/>
  <c r="AK286" i="2"/>
  <c r="AL285" i="2"/>
  <c r="AK285" i="2"/>
  <c r="AL284" i="2"/>
  <c r="AK284" i="2"/>
  <c r="AL283" i="2"/>
  <c r="AK283" i="2"/>
  <c r="AL282" i="2"/>
  <c r="AK282" i="2"/>
  <c r="AL281" i="2"/>
  <c r="AK281" i="2"/>
  <c r="AL280" i="2"/>
  <c r="AK280" i="2"/>
  <c r="AL279" i="2"/>
  <c r="AK279" i="2"/>
  <c r="AL278" i="2"/>
  <c r="AK278" i="2"/>
  <c r="AL277" i="2"/>
  <c r="AK277" i="2"/>
  <c r="AL276" i="2"/>
  <c r="AK276" i="2"/>
  <c r="AL275" i="2"/>
  <c r="AK275" i="2"/>
  <c r="AL274" i="2"/>
  <c r="AK274" i="2"/>
  <c r="AL273" i="2"/>
  <c r="AK273" i="2"/>
  <c r="AL272" i="2"/>
  <c r="AK272" i="2"/>
  <c r="AL271" i="2"/>
  <c r="AK271" i="2"/>
  <c r="AL270" i="2"/>
  <c r="AK270" i="2"/>
  <c r="AL269" i="2"/>
  <c r="AK269" i="2"/>
  <c r="AL268" i="2"/>
  <c r="AK268" i="2"/>
  <c r="AL267" i="2"/>
  <c r="AK267" i="2"/>
  <c r="AL266" i="2"/>
  <c r="AK266" i="2"/>
  <c r="AL265" i="2"/>
  <c r="AK265" i="2"/>
  <c r="AL264" i="2"/>
  <c r="AK264" i="2"/>
  <c r="AL263" i="2"/>
  <c r="AK263" i="2"/>
  <c r="AL262" i="2"/>
  <c r="AK262" i="2"/>
  <c r="AL261" i="2"/>
  <c r="AK261" i="2"/>
  <c r="AL260" i="2"/>
  <c r="AK260" i="2"/>
  <c r="AL259" i="2"/>
  <c r="AK259" i="2"/>
  <c r="AL258" i="2"/>
  <c r="AK258" i="2"/>
  <c r="AL257" i="2"/>
  <c r="AK257" i="2"/>
  <c r="AL256" i="2"/>
  <c r="AK256" i="2"/>
  <c r="AL255" i="2"/>
  <c r="AK255" i="2"/>
  <c r="AL254" i="2"/>
  <c r="AK254" i="2"/>
  <c r="AL253" i="2"/>
  <c r="AK253" i="2"/>
  <c r="AL252" i="2"/>
  <c r="AK252" i="2"/>
  <c r="AL251" i="2"/>
  <c r="AK251" i="2"/>
  <c r="AL250" i="2"/>
  <c r="AK250" i="2"/>
  <c r="AL249" i="2"/>
  <c r="AK249" i="2"/>
  <c r="AL248" i="2"/>
  <c r="AK248" i="2"/>
  <c r="AL246" i="2"/>
  <c r="AK246" i="2"/>
  <c r="AL245" i="2"/>
  <c r="AK245" i="2"/>
  <c r="AL244" i="2"/>
  <c r="AK244" i="2"/>
  <c r="AL243" i="2"/>
  <c r="AK243" i="2"/>
  <c r="AL242" i="2"/>
  <c r="AK242" i="2"/>
  <c r="AL241" i="2"/>
  <c r="AK241" i="2"/>
  <c r="AL240" i="2"/>
  <c r="AK240" i="2"/>
  <c r="AL239" i="2"/>
  <c r="AK239" i="2"/>
  <c r="AL238" i="2"/>
  <c r="AK238" i="2"/>
  <c r="AL237" i="2"/>
  <c r="AK237" i="2"/>
  <c r="AL236" i="2"/>
  <c r="AK236" i="2"/>
  <c r="AL235" i="2"/>
  <c r="AK235" i="2"/>
  <c r="AL234" i="2"/>
  <c r="AK234" i="2"/>
  <c r="AL233" i="2"/>
  <c r="AK233" i="2"/>
  <c r="AL232" i="2"/>
  <c r="AK232" i="2"/>
  <c r="AL231" i="2"/>
  <c r="AK231" i="2"/>
  <c r="AL230" i="2"/>
  <c r="AK230" i="2"/>
  <c r="AL229" i="2"/>
  <c r="AK229" i="2"/>
  <c r="AL228" i="2"/>
  <c r="AK228" i="2"/>
  <c r="AL227" i="2"/>
  <c r="AK227" i="2"/>
  <c r="AL226" i="2"/>
  <c r="AK226" i="2"/>
  <c r="AL225" i="2"/>
  <c r="AK225" i="2"/>
  <c r="AL224" i="2"/>
  <c r="AK224" i="2"/>
  <c r="AL223" i="2"/>
  <c r="AK223" i="2"/>
  <c r="AL222" i="2"/>
  <c r="AK222" i="2"/>
  <c r="AL221" i="2"/>
  <c r="AK221" i="2"/>
  <c r="AL220" i="2"/>
  <c r="AK220" i="2"/>
  <c r="AL219" i="2"/>
  <c r="AK219" i="2"/>
  <c r="AL218" i="2"/>
  <c r="AK218" i="2"/>
  <c r="AL217" i="2"/>
  <c r="AK217" i="2"/>
  <c r="AL216" i="2"/>
  <c r="AK216" i="2"/>
  <c r="AL215" i="2"/>
  <c r="AK215" i="2"/>
  <c r="AL214" i="2"/>
  <c r="AK214" i="2"/>
  <c r="AL213" i="2"/>
  <c r="AK213" i="2"/>
  <c r="AL212" i="2"/>
  <c r="AK212" i="2"/>
  <c r="AL210" i="2"/>
  <c r="AK210" i="2"/>
  <c r="AL209" i="2"/>
  <c r="AK209" i="2"/>
  <c r="AL208" i="2"/>
  <c r="AK208" i="2"/>
  <c r="AL207" i="2"/>
  <c r="AK207" i="2"/>
  <c r="AL206" i="2"/>
  <c r="AK206" i="2"/>
  <c r="AL205" i="2"/>
  <c r="AK205" i="2"/>
  <c r="AL204" i="2"/>
  <c r="AK204" i="2"/>
  <c r="AL203" i="2"/>
  <c r="AK203" i="2"/>
  <c r="AL202" i="2"/>
  <c r="AK202" i="2"/>
  <c r="AL201" i="2"/>
  <c r="AK201" i="2"/>
  <c r="AL200" i="2"/>
  <c r="AK200" i="2"/>
  <c r="AL199" i="2"/>
  <c r="AK199" i="2"/>
  <c r="AL198" i="2"/>
  <c r="AK198" i="2"/>
  <c r="AL197" i="2"/>
  <c r="AK197" i="2"/>
  <c r="AL196" i="2"/>
  <c r="AK196" i="2"/>
  <c r="AL195" i="2"/>
  <c r="AK195" i="2"/>
  <c r="AL194" i="2"/>
  <c r="AK194" i="2"/>
  <c r="AL193" i="2"/>
  <c r="AK193" i="2"/>
  <c r="AL192" i="2"/>
  <c r="AK192" i="2"/>
  <c r="AL191" i="2"/>
  <c r="AK191" i="2"/>
  <c r="AL190" i="2"/>
  <c r="AK190" i="2"/>
  <c r="AL189" i="2"/>
  <c r="AK189" i="2"/>
  <c r="AL188" i="2"/>
  <c r="AK188" i="2"/>
  <c r="AL187" i="2"/>
  <c r="AK187" i="2"/>
  <c r="AL186" i="2"/>
  <c r="AK186" i="2"/>
  <c r="AL185" i="2"/>
  <c r="AK185" i="2"/>
  <c r="AL184" i="2"/>
  <c r="AK184" i="2"/>
  <c r="AL183" i="2"/>
  <c r="AK183" i="2"/>
  <c r="AL182" i="2"/>
  <c r="AK182" i="2"/>
  <c r="AL181" i="2"/>
  <c r="AK181" i="2"/>
  <c r="AL180" i="2"/>
  <c r="AK180" i="2"/>
  <c r="AL179" i="2"/>
  <c r="AK179" i="2"/>
  <c r="AL178" i="2"/>
  <c r="AK178" i="2"/>
  <c r="AL177" i="2"/>
  <c r="AK177" i="2"/>
  <c r="AL176" i="2"/>
  <c r="AK176" i="2"/>
  <c r="AL175" i="2"/>
  <c r="AK175" i="2"/>
  <c r="AL174" i="2"/>
  <c r="AK174" i="2"/>
  <c r="AL173" i="2"/>
  <c r="AK173" i="2"/>
  <c r="AL172" i="2"/>
  <c r="AK172" i="2"/>
  <c r="AL171" i="2"/>
  <c r="AK171" i="2"/>
  <c r="AL170" i="2"/>
  <c r="AK170" i="2"/>
  <c r="AL169" i="2"/>
  <c r="AK169" i="2"/>
  <c r="AL168" i="2"/>
  <c r="AK168" i="2"/>
  <c r="AL167" i="2"/>
  <c r="AK167" i="2"/>
  <c r="AL166" i="2"/>
  <c r="AK166" i="2"/>
  <c r="AL165" i="2"/>
  <c r="AK165" i="2"/>
  <c r="AL164" i="2"/>
  <c r="AK164" i="2"/>
  <c r="AL163" i="2"/>
  <c r="AK163" i="2"/>
  <c r="AL162" i="2"/>
  <c r="AK162" i="2"/>
  <c r="AL161" i="2"/>
  <c r="AK161" i="2"/>
  <c r="AL160" i="2"/>
  <c r="AK160" i="2"/>
  <c r="AL159" i="2"/>
  <c r="AK159" i="2"/>
  <c r="AL158" i="2"/>
  <c r="AK158" i="2"/>
  <c r="AL157" i="2"/>
  <c r="AK157" i="2"/>
  <c r="AL156" i="2"/>
  <c r="AK156" i="2"/>
  <c r="AL155" i="2"/>
  <c r="AK155" i="2"/>
  <c r="AL154" i="2"/>
  <c r="AK154" i="2"/>
  <c r="AL153" i="2"/>
  <c r="AK153" i="2"/>
  <c r="AL152" i="2"/>
  <c r="AK152" i="2"/>
  <c r="AL151" i="2"/>
  <c r="AK151" i="2"/>
  <c r="AL150" i="2"/>
  <c r="AK150" i="2"/>
  <c r="AL149" i="2"/>
  <c r="AK149" i="2"/>
  <c r="AL148" i="2"/>
  <c r="AK148" i="2"/>
  <c r="AL147" i="2"/>
  <c r="AK147" i="2"/>
  <c r="AL146" i="2"/>
  <c r="AK146" i="2"/>
  <c r="AL145" i="2"/>
  <c r="AK145" i="2"/>
  <c r="AL144" i="2"/>
  <c r="AK144" i="2"/>
  <c r="AL143" i="2"/>
  <c r="AK143" i="2"/>
  <c r="AL142" i="2"/>
  <c r="AK142" i="2"/>
  <c r="AL141" i="2"/>
  <c r="AK141" i="2"/>
  <c r="AL140" i="2"/>
  <c r="AK140" i="2"/>
  <c r="AL139" i="2"/>
  <c r="AK139" i="2"/>
  <c r="AL138" i="2"/>
  <c r="AK138" i="2"/>
  <c r="AL137" i="2"/>
  <c r="AK137" i="2"/>
  <c r="AL136" i="2"/>
  <c r="AK136" i="2"/>
  <c r="AL135" i="2"/>
  <c r="AK135" i="2"/>
  <c r="AL134" i="2"/>
  <c r="AK134" i="2"/>
  <c r="AL133" i="2"/>
  <c r="AK133" i="2"/>
  <c r="AL132" i="2"/>
  <c r="AK132" i="2"/>
  <c r="AL131" i="2"/>
  <c r="AK131" i="2"/>
  <c r="AL130" i="2"/>
  <c r="AK130" i="2"/>
  <c r="AL129" i="2"/>
  <c r="AK129" i="2"/>
  <c r="AL128" i="2"/>
  <c r="AK128" i="2"/>
  <c r="AL127" i="2"/>
  <c r="AK127" i="2"/>
  <c r="AL126" i="2"/>
  <c r="AK126" i="2"/>
  <c r="AL125" i="2"/>
  <c r="AK125" i="2"/>
  <c r="AL124" i="2"/>
  <c r="AK124" i="2"/>
  <c r="AL123" i="2"/>
  <c r="AK123" i="2"/>
  <c r="AL122" i="2"/>
  <c r="AK122" i="2"/>
  <c r="AL121" i="2"/>
  <c r="AK121" i="2"/>
  <c r="AL120" i="2"/>
  <c r="AK120" i="2"/>
  <c r="AL119" i="2"/>
  <c r="AK119" i="2"/>
  <c r="AL117" i="2"/>
  <c r="AK117" i="2"/>
  <c r="AL116" i="2"/>
  <c r="AK116" i="2"/>
  <c r="AL115" i="2"/>
  <c r="AK115" i="2"/>
  <c r="AL114" i="2"/>
  <c r="AK114" i="2"/>
  <c r="AL113" i="2"/>
  <c r="AK113" i="2"/>
  <c r="AL112" i="2"/>
  <c r="AK112" i="2"/>
  <c r="AL111" i="2"/>
  <c r="AK111" i="2"/>
  <c r="AL110" i="2"/>
  <c r="AK110" i="2"/>
  <c r="AL109" i="2"/>
  <c r="AK109" i="2"/>
  <c r="AL108" i="2"/>
  <c r="AK108" i="2"/>
  <c r="AL107" i="2"/>
  <c r="AK107" i="2"/>
  <c r="AL106" i="2"/>
  <c r="AK106" i="2"/>
  <c r="AL105" i="2"/>
  <c r="AK105" i="2"/>
  <c r="AL104" i="2"/>
  <c r="AK104" i="2"/>
  <c r="AL103" i="2"/>
  <c r="AK103" i="2"/>
  <c r="AL102" i="2"/>
  <c r="AK102" i="2"/>
  <c r="AL101" i="2"/>
  <c r="AK101" i="2"/>
  <c r="AL100" i="2"/>
  <c r="AK100" i="2"/>
  <c r="AL99" i="2"/>
  <c r="AK99" i="2"/>
  <c r="AL98" i="2"/>
  <c r="AK98" i="2"/>
  <c r="AL97" i="2"/>
  <c r="AK97" i="2"/>
  <c r="AL96" i="2"/>
  <c r="AK96" i="2"/>
  <c r="AL95" i="2"/>
  <c r="AK95" i="2"/>
  <c r="AL94" i="2"/>
  <c r="AK94" i="2"/>
  <c r="AL93" i="2"/>
  <c r="AK93" i="2"/>
  <c r="AL92" i="2"/>
  <c r="AK92" i="2"/>
  <c r="AL91" i="2"/>
  <c r="AK91" i="2"/>
  <c r="AL90" i="2"/>
  <c r="AK90" i="2"/>
  <c r="AL89" i="2"/>
  <c r="AK89" i="2"/>
  <c r="AL88" i="2"/>
  <c r="AK88" i="2"/>
  <c r="AL87" i="2"/>
  <c r="AK87" i="2"/>
  <c r="AL86" i="2"/>
  <c r="AK86" i="2"/>
  <c r="AL85" i="2"/>
  <c r="AK85" i="2"/>
  <c r="AL84" i="2"/>
  <c r="AK84" i="2"/>
  <c r="AL83" i="2"/>
  <c r="AK83" i="2"/>
  <c r="AL82" i="2"/>
  <c r="AK82" i="2"/>
  <c r="AL81" i="2"/>
  <c r="AK81" i="2"/>
  <c r="AL80" i="2"/>
  <c r="AK80" i="2"/>
  <c r="AL79" i="2"/>
  <c r="AK79" i="2"/>
  <c r="AL78" i="2"/>
  <c r="AK78" i="2"/>
  <c r="AL77" i="2"/>
  <c r="AK77" i="2"/>
  <c r="AL76" i="2"/>
  <c r="AK76" i="2"/>
  <c r="AL75" i="2"/>
  <c r="AK75" i="2"/>
  <c r="AL74" i="2"/>
  <c r="AK74" i="2"/>
  <c r="AL73" i="2"/>
  <c r="AK73" i="2"/>
  <c r="AL72" i="2"/>
  <c r="AK72" i="2"/>
  <c r="AL71" i="2"/>
  <c r="AK71" i="2"/>
  <c r="AL70" i="2"/>
  <c r="AK70" i="2"/>
  <c r="AL69" i="2"/>
  <c r="AK69" i="2"/>
  <c r="AL68" i="2"/>
  <c r="AK68" i="2"/>
  <c r="AL67" i="2"/>
  <c r="AK67" i="2"/>
  <c r="AL66" i="2"/>
  <c r="AK66" i="2"/>
  <c r="AL65" i="2"/>
  <c r="AK65" i="2"/>
  <c r="AL64" i="2"/>
  <c r="AK64" i="2"/>
  <c r="AL63" i="2"/>
  <c r="AK63" i="2"/>
  <c r="AL62" i="2"/>
  <c r="AK62" i="2"/>
  <c r="AL61" i="2"/>
  <c r="AK61" i="2"/>
  <c r="AL60" i="2"/>
  <c r="AK60" i="2"/>
  <c r="AL59" i="2"/>
  <c r="AK59" i="2"/>
  <c r="AL58" i="2"/>
  <c r="AK58" i="2"/>
  <c r="AL57" i="2"/>
  <c r="AK57" i="2"/>
  <c r="AL56" i="2"/>
  <c r="AK56" i="2"/>
  <c r="AL55" i="2"/>
  <c r="AK55" i="2"/>
  <c r="AL54" i="2"/>
  <c r="AK54" i="2"/>
  <c r="AL53" i="2"/>
  <c r="AK53" i="2"/>
  <c r="AL52" i="2"/>
  <c r="AK52" i="2"/>
  <c r="AL51" i="2"/>
  <c r="AK51" i="2"/>
  <c r="AL50" i="2"/>
  <c r="AK50" i="2"/>
  <c r="AL49" i="2"/>
  <c r="AK49" i="2"/>
  <c r="AL48" i="2"/>
  <c r="AK48" i="2"/>
  <c r="AL47" i="2"/>
  <c r="AK47" i="2"/>
  <c r="AL46" i="2"/>
  <c r="AK46" i="2"/>
  <c r="AL45" i="2"/>
  <c r="AK45" i="2"/>
  <c r="AL44" i="2"/>
  <c r="AK44" i="2"/>
  <c r="AL43" i="2"/>
  <c r="AK43" i="2"/>
  <c r="AL42" i="2"/>
  <c r="AK42" i="2"/>
  <c r="AL41" i="2"/>
  <c r="AK41" i="2"/>
  <c r="AL40" i="2"/>
  <c r="AK40" i="2"/>
  <c r="AL39" i="2"/>
  <c r="AK39" i="2"/>
  <c r="AL38" i="2"/>
  <c r="AK38" i="2"/>
  <c r="AL37" i="2"/>
  <c r="AK37" i="2"/>
  <c r="AL36" i="2"/>
  <c r="AK36" i="2"/>
  <c r="AL35" i="2"/>
  <c r="AK35" i="2"/>
  <c r="AL34" i="2"/>
  <c r="AK34" i="2"/>
  <c r="AL33" i="2"/>
  <c r="AK33" i="2"/>
  <c r="AL32" i="2"/>
  <c r="AK32" i="2"/>
  <c r="AL31" i="2"/>
  <c r="AK31" i="2"/>
  <c r="AL30" i="2"/>
  <c r="AK30" i="2"/>
  <c r="AL29" i="2"/>
  <c r="AK29" i="2"/>
  <c r="AL28" i="2"/>
  <c r="AK28" i="2"/>
  <c r="AL27" i="2"/>
  <c r="AK27" i="2"/>
  <c r="AL26" i="2"/>
  <c r="AK26" i="2"/>
  <c r="AL25" i="2"/>
  <c r="AK25" i="2"/>
  <c r="AL24" i="2"/>
  <c r="AK24" i="2"/>
  <c r="AL23" i="2"/>
  <c r="AK23" i="2"/>
  <c r="AL22" i="2"/>
  <c r="AK22" i="2"/>
  <c r="AL21" i="2"/>
  <c r="AK21" i="2"/>
  <c r="AL20" i="2"/>
  <c r="AK20" i="2"/>
  <c r="AL19" i="2"/>
  <c r="AK19" i="2"/>
  <c r="AL18" i="2"/>
  <c r="AK18" i="2"/>
  <c r="AL17" i="2"/>
  <c r="AK17" i="2"/>
  <c r="AL16" i="2"/>
  <c r="AK16" i="2"/>
  <c r="AL15" i="2"/>
  <c r="AK15" i="2"/>
  <c r="AL14" i="2"/>
  <c r="AK14" i="2"/>
  <c r="AL13" i="2"/>
  <c r="AK13" i="2"/>
  <c r="AL12" i="2"/>
  <c r="AK12" i="2"/>
  <c r="AL11" i="2"/>
  <c r="AK11" i="2"/>
  <c r="AL10" i="2"/>
  <c r="AK10" i="2"/>
  <c r="AL9" i="2"/>
  <c r="AK9" i="2"/>
  <c r="AL8" i="2"/>
  <c r="AK8" i="2"/>
  <c r="AL7" i="2"/>
  <c r="AK7" i="2"/>
  <c r="AG337" i="2"/>
  <c r="AF337" i="2"/>
  <c r="AG336" i="2"/>
  <c r="AF336" i="2"/>
  <c r="AG335" i="2"/>
  <c r="AF335" i="2"/>
  <c r="AG334" i="2"/>
  <c r="AF334" i="2"/>
  <c r="AG333" i="2"/>
  <c r="AF333" i="2"/>
  <c r="AG332" i="2"/>
  <c r="AF332" i="2"/>
  <c r="AG331" i="2"/>
  <c r="AF331" i="2"/>
  <c r="AG330" i="2"/>
  <c r="AF330" i="2"/>
  <c r="AG329" i="2"/>
  <c r="AF329" i="2"/>
  <c r="AG328" i="2"/>
  <c r="AF328" i="2"/>
  <c r="AG327" i="2"/>
  <c r="AF327" i="2"/>
  <c r="AG326" i="2"/>
  <c r="AF326" i="2"/>
  <c r="AG325" i="2"/>
  <c r="AF325" i="2"/>
  <c r="AG324" i="2"/>
  <c r="AF324" i="2"/>
  <c r="AG323" i="2"/>
  <c r="AF323" i="2"/>
  <c r="AG322" i="2"/>
  <c r="AF322" i="2"/>
  <c r="AG321" i="2"/>
  <c r="AF321" i="2"/>
  <c r="AG320" i="2"/>
  <c r="AF320" i="2"/>
  <c r="AG319" i="2"/>
  <c r="AF319" i="2"/>
  <c r="AG318" i="2"/>
  <c r="AF318" i="2"/>
  <c r="AG317" i="2"/>
  <c r="AF317" i="2"/>
  <c r="AG316" i="2"/>
  <c r="AF316" i="2"/>
  <c r="AG315" i="2"/>
  <c r="AF315" i="2"/>
  <c r="AG314" i="2"/>
  <c r="AF314" i="2"/>
  <c r="AG313" i="2"/>
  <c r="AF313" i="2"/>
  <c r="AG312" i="2"/>
  <c r="AF312" i="2"/>
  <c r="AG311" i="2"/>
  <c r="AF311" i="2"/>
  <c r="AG310" i="2"/>
  <c r="AF310" i="2"/>
  <c r="AG309" i="2"/>
  <c r="AF309" i="2"/>
  <c r="AG308" i="2"/>
  <c r="AF308" i="2"/>
  <c r="AG307" i="2"/>
  <c r="AF307" i="2"/>
  <c r="AG306" i="2"/>
  <c r="AF306" i="2"/>
  <c r="AG305" i="2"/>
  <c r="AF305" i="2"/>
  <c r="AG304" i="2"/>
  <c r="AF304" i="2"/>
  <c r="AG303" i="2"/>
  <c r="AF303" i="2"/>
  <c r="AG302" i="2"/>
  <c r="AF302" i="2"/>
  <c r="AG301" i="2"/>
  <c r="AF301" i="2"/>
  <c r="AG300" i="2"/>
  <c r="AF300" i="2"/>
  <c r="AG299" i="2"/>
  <c r="AF299" i="2"/>
  <c r="AG298" i="2"/>
  <c r="AF298" i="2"/>
  <c r="AG297" i="2"/>
  <c r="AF297" i="2"/>
  <c r="AG296" i="2"/>
  <c r="AF296" i="2"/>
  <c r="AG295" i="2"/>
  <c r="AF295" i="2"/>
  <c r="AG294" i="2"/>
  <c r="AF294" i="2"/>
  <c r="AG293" i="2"/>
  <c r="AF293" i="2"/>
  <c r="AG292" i="2"/>
  <c r="AF292" i="2"/>
  <c r="AG291" i="2"/>
  <c r="AF291" i="2"/>
  <c r="AG290" i="2"/>
  <c r="AF290" i="2"/>
  <c r="AG289" i="2"/>
  <c r="AF289" i="2"/>
  <c r="AG288" i="2"/>
  <c r="AF288" i="2"/>
  <c r="AG287" i="2"/>
  <c r="AF287" i="2"/>
  <c r="AG286" i="2"/>
  <c r="AF286" i="2"/>
  <c r="AG285" i="2"/>
  <c r="AF285" i="2"/>
  <c r="AG284" i="2"/>
  <c r="AF284" i="2"/>
  <c r="AG283" i="2"/>
  <c r="AF283" i="2"/>
  <c r="AG282" i="2"/>
  <c r="AF282" i="2"/>
  <c r="AG281" i="2"/>
  <c r="AF281" i="2"/>
  <c r="AG280" i="2"/>
  <c r="AF280" i="2"/>
  <c r="AG279" i="2"/>
  <c r="AF279" i="2"/>
  <c r="AG278" i="2"/>
  <c r="AF278" i="2"/>
  <c r="AG277" i="2"/>
  <c r="AF277" i="2"/>
  <c r="AG276" i="2"/>
  <c r="AF276" i="2"/>
  <c r="AG275" i="2"/>
  <c r="AF275" i="2"/>
  <c r="AG274" i="2"/>
  <c r="AF274" i="2"/>
  <c r="AG273" i="2"/>
  <c r="AF273" i="2"/>
  <c r="AG272" i="2"/>
  <c r="AF272" i="2"/>
  <c r="AG271" i="2"/>
  <c r="AF271" i="2"/>
  <c r="AG270" i="2"/>
  <c r="AF270" i="2"/>
  <c r="AG269" i="2"/>
  <c r="AF269" i="2"/>
  <c r="AG268" i="2"/>
  <c r="AF268" i="2"/>
  <c r="AG267" i="2"/>
  <c r="AF267" i="2"/>
  <c r="AG266" i="2"/>
  <c r="AF266" i="2"/>
  <c r="AG265" i="2"/>
  <c r="AF265" i="2"/>
  <c r="AG264" i="2"/>
  <c r="AF264" i="2"/>
  <c r="AG263" i="2"/>
  <c r="AF263" i="2"/>
  <c r="AG262" i="2"/>
  <c r="AF262" i="2"/>
  <c r="AG261" i="2"/>
  <c r="AF261" i="2"/>
  <c r="AG260" i="2"/>
  <c r="AF260" i="2"/>
  <c r="AG259" i="2"/>
  <c r="AF259" i="2"/>
  <c r="AG258" i="2"/>
  <c r="AF258" i="2"/>
  <c r="AG257" i="2"/>
  <c r="AF257" i="2"/>
  <c r="AG256" i="2"/>
  <c r="AF256" i="2"/>
  <c r="AG255" i="2"/>
  <c r="AF255" i="2"/>
  <c r="AG254" i="2"/>
  <c r="AF254" i="2"/>
  <c r="AG253" i="2"/>
  <c r="AF253" i="2"/>
  <c r="AG252" i="2"/>
  <c r="AF252" i="2"/>
  <c r="AG251" i="2"/>
  <c r="AF251" i="2"/>
  <c r="AG250" i="2"/>
  <c r="AF250" i="2"/>
  <c r="AG249" i="2"/>
  <c r="AF249" i="2"/>
  <c r="AG248" i="2"/>
  <c r="AF248" i="2"/>
  <c r="AG246" i="2"/>
  <c r="AF246" i="2"/>
  <c r="AG245" i="2"/>
  <c r="AF245" i="2"/>
  <c r="AG244" i="2"/>
  <c r="AF244" i="2"/>
  <c r="AG243" i="2"/>
  <c r="AF243" i="2"/>
  <c r="AG242" i="2"/>
  <c r="AF242" i="2"/>
  <c r="AG241" i="2"/>
  <c r="AF241" i="2"/>
  <c r="AG240" i="2"/>
  <c r="AF240" i="2"/>
  <c r="AG239" i="2"/>
  <c r="AF239" i="2"/>
  <c r="AG238" i="2"/>
  <c r="AF238" i="2"/>
  <c r="AG237" i="2"/>
  <c r="AF237" i="2"/>
  <c r="AG236" i="2"/>
  <c r="AF236" i="2"/>
  <c r="AG235" i="2"/>
  <c r="AF235" i="2"/>
  <c r="AG234" i="2"/>
  <c r="AF234" i="2"/>
  <c r="AG233" i="2"/>
  <c r="AF233" i="2"/>
  <c r="AG232" i="2"/>
  <c r="AF232" i="2"/>
  <c r="AG231" i="2"/>
  <c r="AF231" i="2"/>
  <c r="AG230" i="2"/>
  <c r="AF230" i="2"/>
  <c r="AG229" i="2"/>
  <c r="AF229" i="2"/>
  <c r="AG228" i="2"/>
  <c r="AF228" i="2"/>
  <c r="AG227" i="2"/>
  <c r="AF227" i="2"/>
  <c r="AG226" i="2"/>
  <c r="AF226" i="2"/>
  <c r="AG225" i="2"/>
  <c r="AF225" i="2"/>
  <c r="AG224" i="2"/>
  <c r="AF224" i="2"/>
  <c r="AG223" i="2"/>
  <c r="AF223" i="2"/>
  <c r="AG222" i="2"/>
  <c r="AF222" i="2"/>
  <c r="AG221" i="2"/>
  <c r="AF221" i="2"/>
  <c r="AG220" i="2"/>
  <c r="AF220" i="2"/>
  <c r="AG219" i="2"/>
  <c r="AF219" i="2"/>
  <c r="AG218" i="2"/>
  <c r="AF218" i="2"/>
  <c r="AG217" i="2"/>
  <c r="AF217" i="2"/>
  <c r="AG216" i="2"/>
  <c r="AF216" i="2"/>
  <c r="AG215" i="2"/>
  <c r="AF215" i="2"/>
  <c r="AG214" i="2"/>
  <c r="AF214" i="2"/>
  <c r="AG213" i="2"/>
  <c r="AF213" i="2"/>
  <c r="AG212" i="2"/>
  <c r="AF212" i="2"/>
  <c r="AG210" i="2"/>
  <c r="AF210" i="2"/>
  <c r="AG209" i="2"/>
  <c r="AF209" i="2"/>
  <c r="AG208" i="2"/>
  <c r="AF208" i="2"/>
  <c r="AG207" i="2"/>
  <c r="AF207" i="2"/>
  <c r="AG206" i="2"/>
  <c r="AF206" i="2"/>
  <c r="AG205" i="2"/>
  <c r="AF205" i="2"/>
  <c r="AG204" i="2"/>
  <c r="AF204" i="2"/>
  <c r="AG203" i="2"/>
  <c r="AF203" i="2"/>
  <c r="AG202" i="2"/>
  <c r="AF202" i="2"/>
  <c r="AG201" i="2"/>
  <c r="AF201" i="2"/>
  <c r="AG200" i="2"/>
  <c r="AF200" i="2"/>
  <c r="AG199" i="2"/>
  <c r="AF199" i="2"/>
  <c r="AG198" i="2"/>
  <c r="AF198" i="2"/>
  <c r="AG197" i="2"/>
  <c r="AF197" i="2"/>
  <c r="AG196" i="2"/>
  <c r="AF196" i="2"/>
  <c r="AG195" i="2"/>
  <c r="AF195" i="2"/>
  <c r="AG194" i="2"/>
  <c r="AF194" i="2"/>
  <c r="AG193" i="2"/>
  <c r="AF193" i="2"/>
  <c r="AG192" i="2"/>
  <c r="AF192" i="2"/>
  <c r="AG191" i="2"/>
  <c r="AF191" i="2"/>
  <c r="AG190" i="2"/>
  <c r="AF190" i="2"/>
  <c r="AG189" i="2"/>
  <c r="AF189" i="2"/>
  <c r="AG188" i="2"/>
  <c r="AF188" i="2"/>
  <c r="AG187" i="2"/>
  <c r="AF187" i="2"/>
  <c r="AG186" i="2"/>
  <c r="AF186" i="2"/>
  <c r="AG185" i="2"/>
  <c r="AF185" i="2"/>
  <c r="AG184" i="2"/>
  <c r="AF184" i="2"/>
  <c r="AG183" i="2"/>
  <c r="AF183" i="2"/>
  <c r="AG182" i="2"/>
  <c r="AF182" i="2"/>
  <c r="AG181" i="2"/>
  <c r="AF181" i="2"/>
  <c r="AG180" i="2"/>
  <c r="AF180" i="2"/>
  <c r="AG179" i="2"/>
  <c r="AF179" i="2"/>
  <c r="AG178" i="2"/>
  <c r="AF178" i="2"/>
  <c r="AG177" i="2"/>
  <c r="AF177" i="2"/>
  <c r="AG176" i="2"/>
  <c r="AF176" i="2"/>
  <c r="AG175" i="2"/>
  <c r="AF175" i="2"/>
  <c r="AG174" i="2"/>
  <c r="AF174" i="2"/>
  <c r="AG173" i="2"/>
  <c r="AF173" i="2"/>
  <c r="AG172" i="2"/>
  <c r="AF172" i="2"/>
  <c r="AG171" i="2"/>
  <c r="AF171" i="2"/>
  <c r="AG170" i="2"/>
  <c r="AF170" i="2"/>
  <c r="AG169" i="2"/>
  <c r="AF169" i="2"/>
  <c r="AG168" i="2"/>
  <c r="AF168" i="2"/>
  <c r="AG167" i="2"/>
  <c r="AF167" i="2"/>
  <c r="AG166" i="2"/>
  <c r="AF166" i="2"/>
  <c r="AG165" i="2"/>
  <c r="AF165" i="2"/>
  <c r="AG164" i="2"/>
  <c r="AF164" i="2"/>
  <c r="AG163" i="2"/>
  <c r="AF163" i="2"/>
  <c r="AG162" i="2"/>
  <c r="AF162" i="2"/>
  <c r="AG161" i="2"/>
  <c r="AF161" i="2"/>
  <c r="AG160" i="2"/>
  <c r="AF160" i="2"/>
  <c r="AG159" i="2"/>
  <c r="AF159" i="2"/>
  <c r="AG158" i="2"/>
  <c r="AF158" i="2"/>
  <c r="AG157" i="2"/>
  <c r="AF157" i="2"/>
  <c r="AG156" i="2"/>
  <c r="AF156" i="2"/>
  <c r="AG155" i="2"/>
  <c r="AF155" i="2"/>
  <c r="AG154" i="2"/>
  <c r="AF154" i="2"/>
  <c r="AG153" i="2"/>
  <c r="AF153" i="2"/>
  <c r="AG152" i="2"/>
  <c r="AF152" i="2"/>
  <c r="AG151" i="2"/>
  <c r="AF151" i="2"/>
  <c r="AG150" i="2"/>
  <c r="AF150" i="2"/>
  <c r="AG149" i="2"/>
  <c r="AF149" i="2"/>
  <c r="AG148" i="2"/>
  <c r="AF148" i="2"/>
  <c r="AG147" i="2"/>
  <c r="AF147" i="2"/>
  <c r="AG146" i="2"/>
  <c r="AF146" i="2"/>
  <c r="AG145" i="2"/>
  <c r="AF145" i="2"/>
  <c r="AG144" i="2"/>
  <c r="AF144" i="2"/>
  <c r="AG143" i="2"/>
  <c r="AF143" i="2"/>
  <c r="AG142" i="2"/>
  <c r="AF142" i="2"/>
  <c r="AG141" i="2"/>
  <c r="AF141" i="2"/>
  <c r="AG140" i="2"/>
  <c r="AF140" i="2"/>
  <c r="AG139" i="2"/>
  <c r="AF139" i="2"/>
  <c r="AG138" i="2"/>
  <c r="AF138" i="2"/>
  <c r="AG137" i="2"/>
  <c r="AF137" i="2"/>
  <c r="AG136" i="2"/>
  <c r="AF136" i="2"/>
  <c r="AG135" i="2"/>
  <c r="AF135" i="2"/>
  <c r="AG134" i="2"/>
  <c r="AF134" i="2"/>
  <c r="AG133" i="2"/>
  <c r="AF133" i="2"/>
  <c r="AG132" i="2"/>
  <c r="AF132" i="2"/>
  <c r="AG131" i="2"/>
  <c r="AF131" i="2"/>
  <c r="AG130" i="2"/>
  <c r="AF130" i="2"/>
  <c r="AG129" i="2"/>
  <c r="AF129" i="2"/>
  <c r="AG128" i="2"/>
  <c r="AF128" i="2"/>
  <c r="AG127" i="2"/>
  <c r="AF127" i="2"/>
  <c r="AG126" i="2"/>
  <c r="AF126" i="2"/>
  <c r="AG125" i="2"/>
  <c r="AF125" i="2"/>
  <c r="AG124" i="2"/>
  <c r="AF124" i="2"/>
  <c r="AG123" i="2"/>
  <c r="AF123" i="2"/>
  <c r="AG122" i="2"/>
  <c r="AF122" i="2"/>
  <c r="AG121" i="2"/>
  <c r="AF121" i="2"/>
  <c r="AG120" i="2"/>
  <c r="AF120" i="2"/>
  <c r="AG119" i="2"/>
  <c r="AF119" i="2"/>
  <c r="AG117" i="2"/>
  <c r="AF117" i="2"/>
  <c r="AG116" i="2"/>
  <c r="AF116" i="2"/>
  <c r="AG115" i="2"/>
  <c r="AF115" i="2"/>
  <c r="AG114" i="2"/>
  <c r="AF114" i="2"/>
  <c r="AG113" i="2"/>
  <c r="AF113" i="2"/>
  <c r="AG112" i="2"/>
  <c r="AF112" i="2"/>
  <c r="AG111" i="2"/>
  <c r="AF111" i="2"/>
  <c r="AG110" i="2"/>
  <c r="AF110" i="2"/>
  <c r="AG109" i="2"/>
  <c r="AF109" i="2"/>
  <c r="AG108" i="2"/>
  <c r="AF108" i="2"/>
  <c r="AG107" i="2"/>
  <c r="AF107" i="2"/>
  <c r="AG106" i="2"/>
  <c r="AF106" i="2"/>
  <c r="AG105" i="2"/>
  <c r="AF105" i="2"/>
  <c r="AG104" i="2"/>
  <c r="AF104" i="2"/>
  <c r="AG103" i="2"/>
  <c r="AF103" i="2"/>
  <c r="AG102" i="2"/>
  <c r="AF102" i="2"/>
  <c r="AG101" i="2"/>
  <c r="AF101" i="2"/>
  <c r="AG100" i="2"/>
  <c r="AF100" i="2"/>
  <c r="AG99" i="2"/>
  <c r="AF99" i="2"/>
  <c r="AG98" i="2"/>
  <c r="AF98" i="2"/>
  <c r="AG97" i="2"/>
  <c r="AF97" i="2"/>
  <c r="AG96" i="2"/>
  <c r="AF96" i="2"/>
  <c r="AG95" i="2"/>
  <c r="AF95" i="2"/>
  <c r="AG94" i="2"/>
  <c r="AF94" i="2"/>
  <c r="AG93" i="2"/>
  <c r="AF93" i="2"/>
  <c r="AG92" i="2"/>
  <c r="AF92" i="2"/>
  <c r="AG91" i="2"/>
  <c r="AF91" i="2"/>
  <c r="AG90" i="2"/>
  <c r="AF90" i="2"/>
  <c r="AG89" i="2"/>
  <c r="AF89" i="2"/>
  <c r="AG88" i="2"/>
  <c r="AF88" i="2"/>
  <c r="AG87" i="2"/>
  <c r="AF87" i="2"/>
  <c r="AG86" i="2"/>
  <c r="AF86" i="2"/>
  <c r="AG85" i="2"/>
  <c r="AF85" i="2"/>
  <c r="AG84" i="2"/>
  <c r="AF84" i="2"/>
  <c r="AG83" i="2"/>
  <c r="AF83" i="2"/>
  <c r="AG82" i="2"/>
  <c r="AF82" i="2"/>
  <c r="AG81" i="2"/>
  <c r="AF81" i="2"/>
  <c r="AG80" i="2"/>
  <c r="AF80" i="2"/>
  <c r="AG79" i="2"/>
  <c r="AF79" i="2"/>
  <c r="AG78" i="2"/>
  <c r="AF78" i="2"/>
  <c r="AG77" i="2"/>
  <c r="AF77" i="2"/>
  <c r="AG76" i="2"/>
  <c r="AF76" i="2"/>
  <c r="AG75" i="2"/>
  <c r="AF75" i="2"/>
  <c r="AG74" i="2"/>
  <c r="AF74" i="2"/>
  <c r="AG73" i="2"/>
  <c r="AF73" i="2"/>
  <c r="AG72" i="2"/>
  <c r="AF72" i="2"/>
  <c r="AG71" i="2"/>
  <c r="AF71" i="2"/>
  <c r="AG70" i="2"/>
  <c r="AF70" i="2"/>
  <c r="AG69" i="2"/>
  <c r="AF69" i="2"/>
  <c r="AG68" i="2"/>
  <c r="AF68" i="2"/>
  <c r="AG67" i="2"/>
  <c r="AF67" i="2"/>
  <c r="AG66" i="2"/>
  <c r="AF66" i="2"/>
  <c r="AG65" i="2"/>
  <c r="AF65" i="2"/>
  <c r="AG64" i="2"/>
  <c r="AF64" i="2"/>
  <c r="AG63" i="2"/>
  <c r="AF63" i="2"/>
  <c r="AG62" i="2"/>
  <c r="AF62" i="2"/>
  <c r="AG61" i="2"/>
  <c r="AF61" i="2"/>
  <c r="AG60" i="2"/>
  <c r="AF60" i="2"/>
  <c r="AG59" i="2"/>
  <c r="AF59" i="2"/>
  <c r="AG58" i="2"/>
  <c r="AF58" i="2"/>
  <c r="AG57" i="2"/>
  <c r="AF57" i="2"/>
  <c r="AG56" i="2"/>
  <c r="AF56" i="2"/>
  <c r="AG55" i="2"/>
  <c r="AF55" i="2"/>
  <c r="AG54" i="2"/>
  <c r="AF54" i="2"/>
  <c r="AG53" i="2"/>
  <c r="AF53" i="2"/>
  <c r="AG52" i="2"/>
  <c r="AF52" i="2"/>
  <c r="AG51" i="2"/>
  <c r="AF51" i="2"/>
  <c r="AG50" i="2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H143" i="2" l="1"/>
  <c r="AF6" i="2"/>
  <c r="AG6" i="2"/>
  <c r="AH191" i="2"/>
  <c r="AH295" i="2"/>
  <c r="AH319" i="2"/>
  <c r="AH240" i="2"/>
  <c r="AH256" i="2"/>
  <c r="AH243" i="2"/>
  <c r="AH244" i="2"/>
  <c r="AH293" i="2"/>
  <c r="AH317" i="2"/>
  <c r="AH52" i="2"/>
  <c r="AH149" i="2"/>
  <c r="AH260" i="2"/>
  <c r="AH272" i="2"/>
  <c r="AH296" i="2"/>
  <c r="AH42" i="2"/>
  <c r="AH54" i="2"/>
  <c r="AH78" i="2"/>
  <c r="AH102" i="2"/>
  <c r="AH297" i="2"/>
  <c r="AH321" i="2"/>
  <c r="AH33" i="2"/>
  <c r="AH324" i="2"/>
  <c r="AM151" i="2"/>
  <c r="AM78" i="2"/>
  <c r="AM127" i="2"/>
  <c r="AM236" i="2"/>
  <c r="AH129" i="2"/>
  <c r="AH21" i="2"/>
  <c r="AM66" i="2"/>
  <c r="AM249" i="2"/>
  <c r="AH141" i="2"/>
  <c r="AH117" i="2"/>
  <c r="AM212" i="2"/>
  <c r="AM285" i="2"/>
  <c r="AH158" i="2"/>
  <c r="AM42" i="2"/>
  <c r="AM224" i="2"/>
  <c r="AM163" i="2"/>
  <c r="AH38" i="2"/>
  <c r="AH62" i="2"/>
  <c r="AM161" i="2"/>
  <c r="AH197" i="2"/>
  <c r="AH246" i="2"/>
  <c r="AH30" i="2"/>
  <c r="AH69" i="2"/>
  <c r="AH139" i="2"/>
  <c r="AH187" i="2"/>
  <c r="AH236" i="2"/>
  <c r="AH285" i="2"/>
  <c r="AH92" i="2"/>
  <c r="AH116" i="2"/>
  <c r="AM319" i="2"/>
  <c r="AH130" i="2"/>
  <c r="AH276" i="2"/>
  <c r="AH58" i="2"/>
  <c r="AH336" i="2"/>
  <c r="AM17" i="2"/>
  <c r="AM29" i="2"/>
  <c r="AM41" i="2"/>
  <c r="AM53" i="2"/>
  <c r="AM77" i="2"/>
  <c r="AM89" i="2"/>
  <c r="AM101" i="2"/>
  <c r="AM113" i="2"/>
  <c r="AM126" i="2"/>
  <c r="AM138" i="2"/>
  <c r="AM150" i="2"/>
  <c r="AM162" i="2"/>
  <c r="AM174" i="2"/>
  <c r="AM186" i="2"/>
  <c r="AM198" i="2"/>
  <c r="AM210" i="2"/>
  <c r="AM223" i="2"/>
  <c r="AM235" i="2"/>
  <c r="AM248" i="2"/>
  <c r="AM260" i="2"/>
  <c r="AM272" i="2"/>
  <c r="AM284" i="2"/>
  <c r="AM296" i="2"/>
  <c r="AM308" i="2"/>
  <c r="AM320" i="2"/>
  <c r="AM332" i="2"/>
  <c r="AH181" i="2"/>
  <c r="AH255" i="2"/>
  <c r="AH98" i="2"/>
  <c r="AH135" i="2"/>
  <c r="AH147" i="2"/>
  <c r="AH159" i="2"/>
  <c r="AH183" i="2"/>
  <c r="AH207" i="2"/>
  <c r="AH257" i="2"/>
  <c r="AH281" i="2"/>
  <c r="AH99" i="2"/>
  <c r="AM46" i="2"/>
  <c r="AM70" i="2"/>
  <c r="AM119" i="2"/>
  <c r="AM143" i="2"/>
  <c r="AM167" i="2"/>
  <c r="AM216" i="2"/>
  <c r="AM240" i="2"/>
  <c r="AM277" i="2"/>
  <c r="AM289" i="2"/>
  <c r="AM301" i="2"/>
  <c r="AH71" i="2"/>
  <c r="AH178" i="2"/>
  <c r="AH82" i="2"/>
  <c r="AH214" i="2"/>
  <c r="AH166" i="2"/>
  <c r="AH239" i="2"/>
  <c r="AH49" i="2"/>
  <c r="AH264" i="2"/>
  <c r="AH26" i="2"/>
  <c r="AH109" i="2"/>
  <c r="AH335" i="2"/>
  <c r="AM16" i="2"/>
  <c r="AM28" i="2"/>
  <c r="AM40" i="2"/>
  <c r="AM52" i="2"/>
  <c r="AM64" i="2"/>
  <c r="AM88" i="2"/>
  <c r="AM100" i="2"/>
  <c r="AM112" i="2"/>
  <c r="AM125" i="2"/>
  <c r="AM137" i="2"/>
  <c r="AM149" i="2"/>
  <c r="AM173" i="2"/>
  <c r="AM185" i="2"/>
  <c r="AM197" i="2"/>
  <c r="AM209" i="2"/>
  <c r="AM222" i="2"/>
  <c r="AM234" i="2"/>
  <c r="AM246" i="2"/>
  <c r="AM259" i="2"/>
  <c r="AM271" i="2"/>
  <c r="AM283" i="2"/>
  <c r="AM295" i="2"/>
  <c r="AM307" i="2"/>
  <c r="AM331" i="2"/>
  <c r="AH50" i="2"/>
  <c r="AH122" i="2"/>
  <c r="AH134" i="2"/>
  <c r="AH300" i="2"/>
  <c r="AH312" i="2"/>
  <c r="AH274" i="2"/>
  <c r="AH190" i="2"/>
  <c r="AH60" i="2"/>
  <c r="AH227" i="2"/>
  <c r="AH323" i="2"/>
  <c r="AH230" i="2"/>
  <c r="AH266" i="2"/>
  <c r="AH337" i="2"/>
  <c r="AH106" i="2"/>
  <c r="AH215" i="2"/>
  <c r="AH13" i="2"/>
  <c r="AH179" i="2"/>
  <c r="AH37" i="2"/>
  <c r="AH61" i="2"/>
  <c r="AM309" i="2"/>
  <c r="AM321" i="2"/>
  <c r="AH304" i="2"/>
  <c r="AH31" i="2"/>
  <c r="AH90" i="2"/>
  <c r="AH328" i="2"/>
  <c r="AM336" i="2"/>
  <c r="AH18" i="2"/>
  <c r="AH196" i="2"/>
  <c r="AH329" i="2"/>
  <c r="AH100" i="2"/>
  <c r="AH220" i="2"/>
  <c r="AH103" i="2"/>
  <c r="AH162" i="2"/>
  <c r="AH174" i="2"/>
  <c r="AM313" i="2"/>
  <c r="AH279" i="2"/>
  <c r="AH65" i="2"/>
  <c r="AH20" i="2"/>
  <c r="AH294" i="2"/>
  <c r="AH195" i="2"/>
  <c r="AH53" i="2"/>
  <c r="AH199" i="2"/>
  <c r="AH76" i="2"/>
  <c r="AH41" i="2"/>
  <c r="AH226" i="2"/>
  <c r="AH46" i="2"/>
  <c r="AH81" i="2"/>
  <c r="AH105" i="2"/>
  <c r="AH273" i="2"/>
  <c r="AH176" i="2"/>
  <c r="AH210" i="2"/>
  <c r="AM18" i="2"/>
  <c r="AM114" i="2"/>
  <c r="AM199" i="2"/>
  <c r="AM261" i="2"/>
  <c r="AM297" i="2"/>
  <c r="AH17" i="2"/>
  <c r="AH223" i="2"/>
  <c r="AH269" i="2"/>
  <c r="AH314" i="2"/>
  <c r="AH29" i="2"/>
  <c r="AH74" i="2"/>
  <c r="AH86" i="2"/>
  <c r="AH97" i="2"/>
  <c r="AH108" i="2"/>
  <c r="AH120" i="2"/>
  <c r="AH154" i="2"/>
  <c r="AH177" i="2"/>
  <c r="AH212" i="2"/>
  <c r="AH224" i="2"/>
  <c r="AH235" i="2"/>
  <c r="AH222" i="2"/>
  <c r="AH268" i="2"/>
  <c r="AH142" i="2"/>
  <c r="AH280" i="2"/>
  <c r="AH325" i="2"/>
  <c r="AM30" i="2"/>
  <c r="AM90" i="2"/>
  <c r="AM175" i="2"/>
  <c r="AM273" i="2"/>
  <c r="AM333" i="2"/>
  <c r="AH51" i="2"/>
  <c r="AH85" i="2"/>
  <c r="AH303" i="2"/>
  <c r="AH155" i="2"/>
  <c r="AH189" i="2"/>
  <c r="AH327" i="2"/>
  <c r="AH133" i="2"/>
  <c r="AH225" i="2"/>
  <c r="AH248" i="2"/>
  <c r="AH271" i="2"/>
  <c r="AH305" i="2"/>
  <c r="AH316" i="2"/>
  <c r="AH84" i="2"/>
  <c r="AH28" i="2"/>
  <c r="AH73" i="2"/>
  <c r="AH198" i="2"/>
  <c r="AH245" i="2"/>
  <c r="AM54" i="2"/>
  <c r="AM102" i="2"/>
  <c r="AM139" i="2"/>
  <c r="AM187" i="2"/>
  <c r="AH131" i="2"/>
  <c r="AH165" i="2"/>
  <c r="AH292" i="2"/>
  <c r="AH110" i="2"/>
  <c r="AH249" i="2"/>
  <c r="AH123" i="2"/>
  <c r="AH9" i="2"/>
  <c r="AH32" i="2"/>
  <c r="AH77" i="2"/>
  <c r="AH146" i="2"/>
  <c r="AH157" i="2"/>
  <c r="AH168" i="2"/>
  <c r="AH202" i="2"/>
  <c r="AH261" i="2"/>
  <c r="AH284" i="2"/>
  <c r="AH306" i="2"/>
  <c r="AM22" i="2"/>
  <c r="AM94" i="2"/>
  <c r="AM191" i="2"/>
  <c r="AM253" i="2"/>
  <c r="AM265" i="2"/>
  <c r="AM325" i="2"/>
  <c r="AM337" i="2"/>
  <c r="AH66" i="2"/>
  <c r="AH89" i="2"/>
  <c r="AH238" i="2"/>
  <c r="AH10" i="2"/>
  <c r="AH44" i="2"/>
  <c r="AH203" i="2"/>
  <c r="AM11" i="2"/>
  <c r="AM23" i="2"/>
  <c r="AM35" i="2"/>
  <c r="AM47" i="2"/>
  <c r="AM59" i="2"/>
  <c r="AM71" i="2"/>
  <c r="AM83" i="2"/>
  <c r="AM95" i="2"/>
  <c r="AM107" i="2"/>
  <c r="AM120" i="2"/>
  <c r="AM132" i="2"/>
  <c r="AM144" i="2"/>
  <c r="AM156" i="2"/>
  <c r="AM168" i="2"/>
  <c r="AM180" i="2"/>
  <c r="AM192" i="2"/>
  <c r="AM204" i="2"/>
  <c r="AM217" i="2"/>
  <c r="AM229" i="2"/>
  <c r="AM241" i="2"/>
  <c r="AM254" i="2"/>
  <c r="AM266" i="2"/>
  <c r="AM278" i="2"/>
  <c r="AM290" i="2"/>
  <c r="AM302" i="2"/>
  <c r="AM314" i="2"/>
  <c r="AM326" i="2"/>
  <c r="AM327" i="2"/>
  <c r="AM72" i="2"/>
  <c r="AM279" i="2"/>
  <c r="AH101" i="2"/>
  <c r="AH170" i="2"/>
  <c r="AM48" i="2"/>
  <c r="AM133" i="2"/>
  <c r="AM205" i="2"/>
  <c r="AM315" i="2"/>
  <c r="AH217" i="2"/>
  <c r="AH252" i="2"/>
  <c r="AH12" i="2"/>
  <c r="AH23" i="2"/>
  <c r="AH57" i="2"/>
  <c r="AH80" i="2"/>
  <c r="AH126" i="2"/>
  <c r="AH171" i="2"/>
  <c r="AH194" i="2"/>
  <c r="AH205" i="2"/>
  <c r="AH309" i="2"/>
  <c r="AH332" i="2"/>
  <c r="AM13" i="2"/>
  <c r="AM25" i="2"/>
  <c r="AM37" i="2"/>
  <c r="AM49" i="2"/>
  <c r="AM61" i="2"/>
  <c r="AM73" i="2"/>
  <c r="AM85" i="2"/>
  <c r="AM97" i="2"/>
  <c r="AM109" i="2"/>
  <c r="AM122" i="2"/>
  <c r="AM134" i="2"/>
  <c r="AM146" i="2"/>
  <c r="AM158" i="2"/>
  <c r="AM170" i="2"/>
  <c r="AM182" i="2"/>
  <c r="AM194" i="2"/>
  <c r="AM206" i="2"/>
  <c r="AM219" i="2"/>
  <c r="AM231" i="2"/>
  <c r="AM243" i="2"/>
  <c r="AM256" i="2"/>
  <c r="AM268" i="2"/>
  <c r="AM280" i="2"/>
  <c r="AM292" i="2"/>
  <c r="AM304" i="2"/>
  <c r="AM316" i="2"/>
  <c r="AM328" i="2"/>
  <c r="AH114" i="2"/>
  <c r="AH127" i="2"/>
  <c r="AH138" i="2"/>
  <c r="AH206" i="2"/>
  <c r="AH253" i="2"/>
  <c r="AH287" i="2"/>
  <c r="AH333" i="2"/>
  <c r="AM14" i="2"/>
  <c r="AM26" i="2"/>
  <c r="AM38" i="2"/>
  <c r="AM50" i="2"/>
  <c r="AM62" i="2"/>
  <c r="AM74" i="2"/>
  <c r="AM86" i="2"/>
  <c r="AM98" i="2"/>
  <c r="AM110" i="2"/>
  <c r="AM123" i="2"/>
  <c r="AM135" i="2"/>
  <c r="AM147" i="2"/>
  <c r="AM159" i="2"/>
  <c r="AM171" i="2"/>
  <c r="AM183" i="2"/>
  <c r="AM195" i="2"/>
  <c r="AM207" i="2"/>
  <c r="AM220" i="2"/>
  <c r="AM232" i="2"/>
  <c r="AM257" i="2"/>
  <c r="AM269" i="2"/>
  <c r="AM281" i="2"/>
  <c r="AM293" i="2"/>
  <c r="AM305" i="2"/>
  <c r="AM317" i="2"/>
  <c r="AM329" i="2"/>
  <c r="AH125" i="2"/>
  <c r="AM60" i="2"/>
  <c r="AM121" i="2"/>
  <c r="AM193" i="2"/>
  <c r="AM291" i="2"/>
  <c r="AH148" i="2"/>
  <c r="AH275" i="2"/>
  <c r="AH79" i="2"/>
  <c r="AH228" i="2"/>
  <c r="AH308" i="2"/>
  <c r="AM24" i="2"/>
  <c r="AM96" i="2"/>
  <c r="AM145" i="2"/>
  <c r="AM230" i="2"/>
  <c r="AM267" i="2"/>
  <c r="AH34" i="2"/>
  <c r="AH113" i="2"/>
  <c r="AH45" i="2"/>
  <c r="AM12" i="2"/>
  <c r="AM84" i="2"/>
  <c r="AM169" i="2"/>
  <c r="AM303" i="2"/>
  <c r="AH320" i="2"/>
  <c r="AH36" i="2"/>
  <c r="AH219" i="2"/>
  <c r="AH288" i="2"/>
  <c r="AH322" i="2"/>
  <c r="AH14" i="2"/>
  <c r="AH25" i="2"/>
  <c r="AH93" i="2"/>
  <c r="AH128" i="2"/>
  <c r="AH150" i="2"/>
  <c r="AH173" i="2"/>
  <c r="AH231" i="2"/>
  <c r="AH277" i="2"/>
  <c r="AH289" i="2"/>
  <c r="AH311" i="2"/>
  <c r="AM36" i="2"/>
  <c r="AM108" i="2"/>
  <c r="AM157" i="2"/>
  <c r="AM242" i="2"/>
  <c r="AM255" i="2"/>
  <c r="AH68" i="2"/>
  <c r="AH182" i="2"/>
  <c r="AH94" i="2"/>
  <c r="AH151" i="2"/>
  <c r="AH232" i="2"/>
  <c r="AM76" i="2"/>
  <c r="AM181" i="2"/>
  <c r="AH263" i="2"/>
  <c r="AM218" i="2"/>
  <c r="AH163" i="2"/>
  <c r="AH175" i="2"/>
  <c r="AH186" i="2"/>
  <c r="AH301" i="2"/>
  <c r="AM65" i="2"/>
  <c r="AM244" i="2"/>
  <c r="AM233" i="2"/>
  <c r="AM39" i="2"/>
  <c r="AM124" i="2"/>
  <c r="AM172" i="2"/>
  <c r="AM221" i="2"/>
  <c r="AM282" i="2"/>
  <c r="AH24" i="2"/>
  <c r="AH169" i="2"/>
  <c r="AM27" i="2"/>
  <c r="AM160" i="2"/>
  <c r="AM330" i="2"/>
  <c r="AH64" i="2"/>
  <c r="AH278" i="2"/>
  <c r="AH326" i="2"/>
  <c r="AH7" i="2"/>
  <c r="AH55" i="2"/>
  <c r="AH152" i="2"/>
  <c r="AH250" i="2"/>
  <c r="AH298" i="2"/>
  <c r="AH237" i="2"/>
  <c r="AH63" i="2"/>
  <c r="AM111" i="2"/>
  <c r="AM148" i="2"/>
  <c r="AM196" i="2"/>
  <c r="AH83" i="2"/>
  <c r="AH161" i="2"/>
  <c r="AH259" i="2"/>
  <c r="AH307" i="2"/>
  <c r="AH200" i="2"/>
  <c r="AH8" i="2"/>
  <c r="AH27" i="2"/>
  <c r="AH56" i="2"/>
  <c r="AH75" i="2"/>
  <c r="AH104" i="2"/>
  <c r="AH124" i="2"/>
  <c r="AH153" i="2"/>
  <c r="AH172" i="2"/>
  <c r="AH201" i="2"/>
  <c r="AH221" i="2"/>
  <c r="AH251" i="2"/>
  <c r="AH270" i="2"/>
  <c r="AH299" i="2"/>
  <c r="AH318" i="2"/>
  <c r="AH72" i="2"/>
  <c r="AH121" i="2"/>
  <c r="AH218" i="2"/>
  <c r="AH286" i="2"/>
  <c r="AH160" i="2"/>
  <c r="AH258" i="2"/>
  <c r="AM15" i="2"/>
  <c r="AM99" i="2"/>
  <c r="AM136" i="2"/>
  <c r="AM208" i="2"/>
  <c r="AH112" i="2"/>
  <c r="AH209" i="2"/>
  <c r="AH47" i="2"/>
  <c r="AH95" i="2"/>
  <c r="AH290" i="2"/>
  <c r="AM7" i="2"/>
  <c r="AM55" i="2"/>
  <c r="AM115" i="2"/>
  <c r="AM176" i="2"/>
  <c r="AM237" i="2"/>
  <c r="AM250" i="2"/>
  <c r="AM262" i="2"/>
  <c r="AM274" i="2"/>
  <c r="AM286" i="2"/>
  <c r="AH164" i="2"/>
  <c r="AH242" i="2"/>
  <c r="AH291" i="2"/>
  <c r="AM20" i="2"/>
  <c r="AM116" i="2"/>
  <c r="AM299" i="2"/>
  <c r="AH140" i="2"/>
  <c r="AM245" i="2"/>
  <c r="AH180" i="2"/>
  <c r="AM19" i="2"/>
  <c r="AM103" i="2"/>
  <c r="AM188" i="2"/>
  <c r="AM298" i="2"/>
  <c r="AH193" i="2"/>
  <c r="AH262" i="2"/>
  <c r="AM80" i="2"/>
  <c r="AM165" i="2"/>
  <c r="AM251" i="2"/>
  <c r="AH184" i="2"/>
  <c r="AM21" i="2"/>
  <c r="AM105" i="2"/>
  <c r="AM130" i="2"/>
  <c r="AM202" i="2"/>
  <c r="AM288" i="2"/>
  <c r="AM312" i="2"/>
  <c r="AH40" i="2"/>
  <c r="AH59" i="2"/>
  <c r="AH88" i="2"/>
  <c r="AH107" i="2"/>
  <c r="AH137" i="2"/>
  <c r="AH156" i="2"/>
  <c r="AH185" i="2"/>
  <c r="AH204" i="2"/>
  <c r="AH234" i="2"/>
  <c r="AH254" i="2"/>
  <c r="AH283" i="2"/>
  <c r="AH302" i="2"/>
  <c r="AH331" i="2"/>
  <c r="AM10" i="2"/>
  <c r="AM34" i="2"/>
  <c r="AM58" i="2"/>
  <c r="AM82" i="2"/>
  <c r="AM106" i="2"/>
  <c r="AM131" i="2"/>
  <c r="AM155" i="2"/>
  <c r="AM179" i="2"/>
  <c r="AM203" i="2"/>
  <c r="AM228" i="2"/>
  <c r="AH267" i="2"/>
  <c r="AM75" i="2"/>
  <c r="AM306" i="2"/>
  <c r="AH132" i="2"/>
  <c r="AM140" i="2"/>
  <c r="AH115" i="2"/>
  <c r="AM44" i="2"/>
  <c r="AM141" i="2"/>
  <c r="AM238" i="2"/>
  <c r="AM335" i="2"/>
  <c r="AH87" i="2"/>
  <c r="AH233" i="2"/>
  <c r="AH330" i="2"/>
  <c r="AM45" i="2"/>
  <c r="AM117" i="2"/>
  <c r="AM215" i="2"/>
  <c r="AM300" i="2"/>
  <c r="AM324" i="2"/>
  <c r="AH11" i="2"/>
  <c r="AH43" i="2"/>
  <c r="AH334" i="2"/>
  <c r="AM63" i="2"/>
  <c r="AM318" i="2"/>
  <c r="AH229" i="2"/>
  <c r="AM43" i="2"/>
  <c r="AM164" i="2"/>
  <c r="AM32" i="2"/>
  <c r="AM129" i="2"/>
  <c r="AM226" i="2"/>
  <c r="AM57" i="2"/>
  <c r="AM166" i="2"/>
  <c r="AM252" i="2"/>
  <c r="AM258" i="2"/>
  <c r="AH16" i="2"/>
  <c r="AH241" i="2"/>
  <c r="AM91" i="2"/>
  <c r="AM213" i="2"/>
  <c r="AM310" i="2"/>
  <c r="AH67" i="2"/>
  <c r="AH145" i="2"/>
  <c r="AH310" i="2"/>
  <c r="AM56" i="2"/>
  <c r="AM153" i="2"/>
  <c r="AM214" i="2"/>
  <c r="AM287" i="2"/>
  <c r="AM311" i="2"/>
  <c r="AM69" i="2"/>
  <c r="AM178" i="2"/>
  <c r="AM276" i="2"/>
  <c r="AH22" i="2"/>
  <c r="AH70" i="2"/>
  <c r="AH119" i="2"/>
  <c r="AH167" i="2"/>
  <c r="AH216" i="2"/>
  <c r="AH265" i="2"/>
  <c r="AH313" i="2"/>
  <c r="AH91" i="2"/>
  <c r="AM51" i="2"/>
  <c r="AM270" i="2"/>
  <c r="AM31" i="2"/>
  <c r="AM128" i="2"/>
  <c r="AM225" i="2"/>
  <c r="AM322" i="2"/>
  <c r="AH19" i="2"/>
  <c r="AM92" i="2"/>
  <c r="AM177" i="2"/>
  <c r="AM263" i="2"/>
  <c r="AM323" i="2"/>
  <c r="AM9" i="2"/>
  <c r="AM81" i="2"/>
  <c r="AM154" i="2"/>
  <c r="AM239" i="2"/>
  <c r="AH188" i="2"/>
  <c r="AH315" i="2"/>
  <c r="AH15" i="2"/>
  <c r="AH111" i="2"/>
  <c r="AH208" i="2"/>
  <c r="AM184" i="2"/>
  <c r="AH144" i="2"/>
  <c r="AM67" i="2"/>
  <c r="AM152" i="2"/>
  <c r="AM334" i="2"/>
  <c r="AH96" i="2"/>
  <c r="AM8" i="2"/>
  <c r="AM104" i="2"/>
  <c r="AM189" i="2"/>
  <c r="AM275" i="2"/>
  <c r="AH282" i="2"/>
  <c r="AM33" i="2"/>
  <c r="AM142" i="2"/>
  <c r="AM227" i="2"/>
  <c r="AM87" i="2"/>
  <c r="AM294" i="2"/>
  <c r="AH35" i="2"/>
  <c r="AH192" i="2"/>
  <c r="AM79" i="2"/>
  <c r="AM200" i="2"/>
  <c r="AH48" i="2"/>
  <c r="AH213" i="2"/>
  <c r="AM68" i="2"/>
  <c r="AM201" i="2"/>
  <c r="AH39" i="2"/>
  <c r="AH136" i="2"/>
  <c r="AM93" i="2"/>
  <c r="AM190" i="2"/>
  <c r="AM264" i="2"/>
  <c r="AH6" i="2" l="1"/>
  <c r="AN6" i="2"/>
  <c r="AO6" i="2"/>
  <c r="C337" i="2" l="1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K6" i="2" l="1"/>
  <c r="AL6" i="2"/>
  <c r="B84" i="1"/>
  <c r="B75" i="1"/>
  <c r="F65" i="1"/>
  <c r="B65" i="1"/>
  <c r="F50" i="1"/>
  <c r="B50" i="1"/>
  <c r="B36" i="1"/>
  <c r="AM6" i="2" l="1"/>
  <c r="F97" i="1"/>
  <c r="F94" i="1"/>
  <c r="C1" i="2" l="1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B54" i="1" l="1"/>
  <c r="A3" i="1" l="1"/>
  <c r="B34" i="1" s="1"/>
  <c r="F95" i="1" l="1"/>
  <c r="F96" i="1" s="1"/>
  <c r="F98" i="1" s="1"/>
  <c r="E27" i="1"/>
  <c r="F27" i="1" s="1"/>
  <c r="E24" i="1"/>
  <c r="F56" i="1"/>
  <c r="B55" i="1"/>
  <c r="F49" i="1"/>
  <c r="B82" i="1"/>
  <c r="B96" i="1"/>
  <c r="F76" i="1"/>
  <c r="B38" i="1"/>
  <c r="B63" i="1"/>
  <c r="F64" i="1"/>
  <c r="B64" i="1"/>
  <c r="F55" i="1"/>
  <c r="B49" i="1"/>
  <c r="B83" i="1"/>
  <c r="F82" i="1"/>
  <c r="B66" i="1"/>
  <c r="B74" i="1"/>
  <c r="B48" i="1"/>
  <c r="E28" i="1"/>
  <c r="F28" i="1" s="1"/>
  <c r="F85" i="1"/>
  <c r="B94" i="1"/>
  <c r="B76" i="1"/>
  <c r="F93" i="1"/>
  <c r="F63" i="1"/>
  <c r="B56" i="1"/>
  <c r="F48" i="1"/>
  <c r="B85" i="1"/>
  <c r="F83" i="1"/>
  <c r="B93" i="1"/>
  <c r="F66" i="1"/>
  <c r="F67" i="1" s="1"/>
  <c r="F74" i="1"/>
  <c r="B37" i="1"/>
  <c r="B26" i="1"/>
  <c r="B25" i="1"/>
  <c r="E26" i="1"/>
  <c r="E25" i="1"/>
  <c r="B8" i="1"/>
  <c r="B58" i="1" l="1"/>
  <c r="F58" i="1"/>
  <c r="B57" i="1"/>
  <c r="F99" i="1"/>
  <c r="F100" i="1" s="1"/>
  <c r="E19" i="1" s="1"/>
  <c r="F57" i="1"/>
  <c r="F68" i="1"/>
  <c r="F70" i="1" s="1"/>
  <c r="F16" i="1" s="1"/>
  <c r="F13" i="1"/>
  <c r="B35" i="1"/>
  <c r="B67" i="1"/>
  <c r="B68" i="1" s="1"/>
  <c r="F24" i="1"/>
  <c r="F25" i="1"/>
  <c r="F26" i="1"/>
  <c r="B59" i="1" l="1"/>
  <c r="F59" i="1"/>
  <c r="F71" i="1"/>
  <c r="E16" i="1" s="1"/>
  <c r="B70" i="1"/>
  <c r="B40" i="1" l="1"/>
  <c r="F54" i="1"/>
  <c r="F75" i="1"/>
  <c r="F84" i="1"/>
  <c r="B95" i="1"/>
  <c r="F52" i="1" l="1"/>
  <c r="A92" i="1"/>
  <c r="A22" i="1"/>
  <c r="F53" i="1" l="1"/>
  <c r="F60" i="1" s="1"/>
  <c r="B86" i="1"/>
  <c r="B87" i="1" s="1"/>
  <c r="F77" i="1"/>
  <c r="F78" i="1" s="1"/>
  <c r="B77" i="1"/>
  <c r="B78" i="1" s="1"/>
  <c r="A21" i="1"/>
  <c r="F86" i="1"/>
  <c r="F87" i="1" l="1"/>
  <c r="F89" i="1" s="1"/>
  <c r="B39" i="1"/>
  <c r="B41" i="1" s="1"/>
  <c r="B42" i="1" s="1"/>
  <c r="B79" i="1"/>
  <c r="E17" i="1" s="1"/>
  <c r="E81" i="1"/>
  <c r="F79" i="1" l="1"/>
  <c r="E18" i="1" s="1"/>
  <c r="F15" i="1"/>
  <c r="B71" i="1"/>
  <c r="E15" i="1" s="1"/>
  <c r="F21" i="1"/>
  <c r="F14" i="1" l="1"/>
  <c r="F90" i="1"/>
  <c r="E21" i="1" s="1"/>
  <c r="E14" i="1" l="1"/>
  <c r="B97" i="1" l="1"/>
  <c r="B98" i="1" s="1"/>
  <c r="B52" i="1"/>
  <c r="B53" i="1" s="1"/>
  <c r="B60" i="1" l="1"/>
  <c r="E13" i="1" s="1"/>
  <c r="B44" i="1"/>
  <c r="F12" i="1" s="1"/>
  <c r="B89" i="1"/>
  <c r="F20" i="1" s="1"/>
  <c r="B100" i="1"/>
  <c r="F22" i="1" s="1"/>
  <c r="B90" i="1" l="1"/>
  <c r="E20" i="1" s="1"/>
  <c r="B45" i="1"/>
  <c r="E12" i="1" s="1"/>
  <c r="B101" i="1"/>
  <c r="E22" i="1" s="1"/>
</calcChain>
</file>

<file path=xl/sharedStrings.xml><?xml version="1.0" encoding="utf-8"?>
<sst xmlns="http://schemas.openxmlformats.org/spreadsheetml/2006/main" count="899" uniqueCount="829">
  <si>
    <t>CARRYOVER</t>
  </si>
  <si>
    <t>4121</t>
  </si>
  <si>
    <t>4155</t>
  </si>
  <si>
    <t>4165</t>
  </si>
  <si>
    <t>4174</t>
  </si>
  <si>
    <t>4199</t>
  </si>
  <si>
    <t>STATE</t>
  </si>
  <si>
    <t>INST INDIRECT</t>
  </si>
  <si>
    <t>INST. 26</t>
  </si>
  <si>
    <t>FIRE DIST</t>
  </si>
  <si>
    <t>EXPEND</t>
  </si>
  <si>
    <t>PAY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</si>
  <si>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</si>
  <si>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</si>
  <si>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</si>
  <si>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</si>
  <si>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</si>
  <si>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</si>
  <si>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</si>
  <si>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</si>
  <si>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</si>
  <si>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</si>
  <si>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</si>
  <si>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</si>
  <si>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</si>
  <si>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</si>
  <si>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</si>
  <si>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</si>
  <si>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</si>
  <si>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</si>
  <si>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</si>
  <si>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</si>
  <si>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</si>
  <si>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</si>
  <si>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</si>
  <si>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</si>
  <si>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</si>
  <si>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</si>
  <si>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</si>
  <si>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</si>
  <si>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</si>
  <si>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</si>
  <si>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</si>
  <si>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</si>
  <si>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</si>
  <si>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</si>
  <si>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</si>
  <si>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</si>
  <si>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</si>
  <si>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</si>
  <si>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</si>
  <si>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</si>
  <si>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</si>
  <si>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</si>
  <si>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</si>
  <si>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</si>
  <si>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</si>
  <si>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</si>
  <si>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</si>
  <si>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</si>
  <si>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</si>
  <si>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</si>
  <si>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</si>
  <si>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</si>
  <si>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</si>
  <si>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</si>
  <si>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</si>
  <si>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</si>
  <si>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</si>
  <si>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</si>
  <si>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</si>
  <si>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</si>
  <si>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</si>
  <si>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</si>
  <si>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</si>
  <si>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</si>
  <si>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</si>
  <si>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</si>
  <si>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</si>
  <si>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</si>
  <si>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</si>
  <si>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</si>
  <si>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</si>
  <si>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</si>
  <si>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</si>
  <si>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</si>
  <si>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</si>
  <si>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</si>
  <si>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</si>
  <si>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</si>
  <si>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</si>
  <si>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</si>
  <si>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</si>
  <si>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</si>
  <si>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</si>
  <si>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</si>
  <si>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</si>
  <si>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</si>
  <si>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</si>
  <si>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</si>
  <si>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</si>
  <si>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</si>
  <si>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</si>
  <si>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</si>
  <si>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</si>
  <si>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</si>
  <si>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</si>
  <si>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</si>
  <si>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</si>
  <si>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</si>
  <si>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</si>
  <si>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</si>
  <si>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</si>
  <si>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</si>
  <si>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</si>
  <si>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</si>
  <si>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</si>
  <si>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</si>
  <si>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</si>
  <si>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</si>
  <si>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</si>
  <si>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</si>
  <si>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</si>
  <si>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</si>
  <si>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</si>
  <si>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</si>
  <si>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</si>
  <si>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</si>
  <si>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</si>
  <si>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</si>
  <si>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</si>
  <si>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</si>
  <si>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</si>
  <si>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</si>
  <si>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</si>
  <si>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</si>
  <si>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</si>
  <si>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</si>
  <si>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</si>
  <si>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</si>
  <si>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</si>
  <si>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</si>
  <si>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</si>
  <si>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</si>
  <si>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</si>
  <si>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</si>
  <si>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</si>
  <si>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</si>
  <si>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</si>
  <si>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</si>
  <si>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</si>
  <si>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</si>
  <si>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</si>
  <si>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</si>
  <si>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</si>
  <si>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</si>
  <si>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</si>
  <si>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</si>
  <si>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</si>
  <si>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</si>
  <si>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</si>
  <si>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</si>
  <si>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</si>
  <si>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</si>
  <si>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</si>
  <si>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</si>
  <si>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</si>
  <si>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</si>
  <si>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</si>
  <si>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</si>
  <si>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</si>
  <si>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</si>
  <si>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</si>
  <si>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</si>
  <si>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</si>
  <si>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</si>
  <si>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</si>
  <si>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</si>
  <si>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</si>
  <si>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</si>
  <si>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</si>
  <si>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</si>
  <si>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</si>
  <si>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</si>
  <si>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</si>
  <si>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</si>
  <si>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</si>
  <si>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</si>
  <si>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</si>
  <si>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</si>
  <si>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</si>
  <si>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</si>
  <si>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</si>
  <si>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</si>
  <si>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</si>
  <si>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</si>
  <si>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</si>
  <si>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</si>
  <si>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</si>
  <si>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</si>
  <si>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</si>
  <si>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</si>
  <si>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</si>
  <si>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</si>
  <si>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</si>
  <si>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</si>
  <si>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</si>
  <si>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</si>
  <si>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</si>
  <si>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</si>
  <si>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</si>
  <si>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</si>
  <si>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</si>
  <si>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</si>
  <si>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</si>
  <si>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</si>
  <si>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</si>
  <si>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</si>
  <si>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</si>
  <si>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</si>
  <si>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</si>
  <si>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</si>
  <si>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</si>
  <si>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</si>
  <si>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</si>
  <si>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</si>
  <si>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</si>
  <si>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</si>
  <si>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</si>
  <si>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</si>
  <si>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</si>
  <si>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</si>
  <si>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</si>
  <si>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</si>
  <si>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</si>
  <si>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</si>
  <si>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</si>
  <si>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</si>
  <si>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</si>
  <si>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</si>
  <si>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</si>
  <si>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</si>
  <si>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</si>
  <si>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</si>
  <si>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</si>
  <si>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</si>
  <si>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</si>
  <si>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</si>
  <si>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</si>
  <si>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</si>
  <si>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</si>
  <si>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</si>
  <si>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</si>
  <si>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</si>
  <si>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</si>
  <si>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</si>
  <si>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</si>
  <si>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</si>
  <si>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</si>
  <si>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</si>
  <si>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</si>
  <si>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</si>
  <si>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</si>
  <si>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</si>
  <si>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</si>
  <si>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</si>
  <si>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</si>
  <si>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</si>
  <si>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</si>
  <si>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</si>
  <si>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</si>
  <si>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</si>
  <si>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</si>
  <si>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</si>
  <si>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</si>
  <si>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</si>
  <si>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</si>
  <si>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</si>
  <si>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</si>
  <si>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</si>
  <si>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</si>
  <si>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</si>
  <si>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</si>
  <si>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</si>
  <si>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</si>
  <si>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</si>
  <si>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</si>
  <si>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</si>
  <si>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</si>
  <si>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</si>
  <si>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</si>
  <si>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</si>
  <si>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</si>
  <si>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</si>
  <si>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</si>
  <si>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</si>
  <si>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</si>
  <si>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</si>
  <si>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</si>
  <si>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</si>
  <si>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</si>
  <si>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</si>
  <si>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</si>
  <si>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</si>
  <si>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</si>
  <si>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</si>
  <si>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</si>
  <si>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Direct Expenditures:</t>
  </si>
  <si>
    <t xml:space="preserve">  Program 21 Special Ed</t>
  </si>
  <si>
    <t xml:space="preserve">  Program 65 Bilingual</t>
  </si>
  <si>
    <t xml:space="preserve">  Program 74 Highly Capable</t>
  </si>
  <si>
    <t xml:space="preserve">  Program 99 Transportation</t>
  </si>
  <si>
    <t xml:space="preserve">  Program 26 State Institution.</t>
  </si>
  <si>
    <t>SPECIAL EDUCATION PROGRAM 21</t>
  </si>
  <si>
    <t>LAP PROGRAM 55</t>
  </si>
  <si>
    <t>B. Prior Year Carryover</t>
  </si>
  <si>
    <t>C. Direct Expenditures</t>
  </si>
  <si>
    <t>E. (C * (1 + D))</t>
  </si>
  <si>
    <t>F. Lesser of A or (E - B)</t>
  </si>
  <si>
    <t>G. Carryover :</t>
  </si>
  <si>
    <t xml:space="preserve">    (A - F, max. A * .1)</t>
  </si>
  <si>
    <t>BILINGUAL PROGRAM 65</t>
  </si>
  <si>
    <t>HIGHLY CAPABLE PROGRAM 74</t>
  </si>
  <si>
    <t>B. Direct Expenditures</t>
  </si>
  <si>
    <t>D. (B * (1 + C))</t>
  </si>
  <si>
    <t>E. Lesser of A or D</t>
  </si>
  <si>
    <t>TRANSPORTATION PROGRAM 99</t>
  </si>
  <si>
    <t>D. Indirect Allocation</t>
  </si>
  <si>
    <t>E. (C + D)</t>
  </si>
  <si>
    <t>H. Recovery (F + G - A)</t>
  </si>
  <si>
    <t>STATE INSTITUTIONS PROGRAM 26</t>
  </si>
  <si>
    <t>Select District =&gt;</t>
  </si>
  <si>
    <t>ccddd</t>
  </si>
  <si>
    <t>Recovery</t>
  </si>
  <si>
    <t>Carryover</t>
  </si>
  <si>
    <t>SUMMARY OF ESTIMATED AMOUNTS</t>
  </si>
  <si>
    <t xml:space="preserve">  Revenue 7121 Special Ed</t>
  </si>
  <si>
    <t xml:space="preserve">  Revenue 7199 Transportation</t>
  </si>
  <si>
    <t>Revenues from Other School Districts</t>
  </si>
  <si>
    <t>A.  Allocation</t>
  </si>
  <si>
    <t>A. Minimum Direct Expend.</t>
  </si>
  <si>
    <t>F. Recovery (E - A)</t>
  </si>
  <si>
    <t>ENTER DATA HERE</t>
  </si>
  <si>
    <t>04801</t>
  </si>
  <si>
    <t>06801</t>
  </si>
  <si>
    <t>11801</t>
  </si>
  <si>
    <t>17801</t>
  </si>
  <si>
    <t>18801</t>
  </si>
  <si>
    <t>29801</t>
  </si>
  <si>
    <t>32801</t>
  </si>
  <si>
    <t>34801</t>
  </si>
  <si>
    <t>39801</t>
  </si>
  <si>
    <t>Click Arrow &amp; Select District =&gt;</t>
  </si>
  <si>
    <t>Deductible Revenues</t>
  </si>
  <si>
    <t xml:space="preserve">  Revenue 1400 Local In-lieu of Taxes</t>
  </si>
  <si>
    <t xml:space="preserve">  Revenue 1600 County Admin Forests</t>
  </si>
  <si>
    <t xml:space="preserve">  Revenue 3600 State Forests</t>
  </si>
  <si>
    <t xml:space="preserve">  Revenue 5400 Federal In-lieu of Taxes</t>
  </si>
  <si>
    <t>Adjustment</t>
  </si>
  <si>
    <t>D. Account 3121 Allotment</t>
  </si>
  <si>
    <t>F. ((C - D) * (1 + E))</t>
  </si>
  <si>
    <t>G.  Revenue 7121</t>
  </si>
  <si>
    <t>H. (F - G)</t>
  </si>
  <si>
    <t>I. Lesser of A or (H - B)</t>
  </si>
  <si>
    <t xml:space="preserve">    (A - I, max. A * .1)</t>
  </si>
  <si>
    <t>J. Carryover :</t>
  </si>
  <si>
    <t>K. Recovery (I + J - A)</t>
  </si>
  <si>
    <t>Report 1191</t>
  </si>
  <si>
    <t>Note:  The allocations displayed may be over written to view the effect of anticipated changes.</t>
  </si>
  <si>
    <t xml:space="preserve">    (A + B - C, max. A * .1)</t>
  </si>
  <si>
    <t>F. Vocational FTE Enrollment</t>
  </si>
  <si>
    <t>FTE</t>
  </si>
  <si>
    <t>ENHANCE</t>
  </si>
  <si>
    <t>INST. 59</t>
  </si>
  <si>
    <t>ACCT. 4159</t>
  </si>
  <si>
    <t>198A</t>
  </si>
  <si>
    <t>200A</t>
  </si>
  <si>
    <t>Z266</t>
  </si>
  <si>
    <t>040A</t>
  </si>
  <si>
    <t>E54</t>
  </si>
  <si>
    <t>E55</t>
  </si>
  <si>
    <t>Z456</t>
  </si>
  <si>
    <t>136A</t>
  </si>
  <si>
    <t>076A</t>
  </si>
  <si>
    <t>RATE</t>
  </si>
  <si>
    <t>A24</t>
  </si>
  <si>
    <t>A27</t>
  </si>
  <si>
    <t>116A</t>
  </si>
  <si>
    <t>087A</t>
  </si>
  <si>
    <t>O7</t>
  </si>
  <si>
    <t>137A</t>
  </si>
  <si>
    <t>Z095</t>
  </si>
  <si>
    <t>Prog 21 Calc</t>
  </si>
  <si>
    <t>TBIP Total Alloc</t>
  </si>
  <si>
    <t>HiCap Total</t>
  </si>
  <si>
    <t>&amp; INST 34</t>
  </si>
  <si>
    <t>CTE MIN</t>
  </si>
  <si>
    <t>CTE</t>
  </si>
  <si>
    <t>MS CTE MIN</t>
  </si>
  <si>
    <t>CTE FTE</t>
  </si>
  <si>
    <t>CTE Enhance</t>
  </si>
  <si>
    <t>MS CTE</t>
  </si>
  <si>
    <t>SPECIAL ED</t>
  </si>
  <si>
    <t>CARRYOVER ACCT. 4121</t>
  </si>
  <si>
    <t>088A</t>
  </si>
  <si>
    <t>CARRYOVER ACCT. 4155</t>
  </si>
  <si>
    <t xml:space="preserve"> 075A</t>
  </si>
  <si>
    <t>CAREER &amp; TECH PROGRAM 31</t>
  </si>
  <si>
    <t>MIDDLE SCHOOL CAREER &amp; TECH PROGRAM 34</t>
  </si>
  <si>
    <t xml:space="preserve">  Program 31 Career &amp; Tech</t>
  </si>
  <si>
    <t xml:space="preserve">  Program 34 Middle School Career &amp; Tech</t>
  </si>
  <si>
    <t>17903</t>
  </si>
  <si>
    <t>18902</t>
  </si>
  <si>
    <t>37903</t>
  </si>
  <si>
    <t>17902</t>
  </si>
  <si>
    <t>17908</t>
  </si>
  <si>
    <t>27905</t>
  </si>
  <si>
    <t>32901</t>
  </si>
  <si>
    <t>32907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</si>
  <si>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</si>
  <si>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</si>
  <si>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</si>
  <si>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</si>
  <si>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</si>
  <si>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</si>
  <si>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</si>
  <si>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</si>
  <si>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</si>
  <si>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</si>
  <si>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</si>
  <si>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</si>
  <si>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</si>
  <si>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</si>
  <si>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</si>
  <si>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</si>
  <si>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</si>
  <si>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</si>
  <si>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</si>
  <si>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</si>
  <si>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</si>
  <si>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</si>
  <si>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</si>
  <si>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</si>
  <si>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</si>
  <si>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</si>
  <si>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</si>
  <si>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</si>
  <si>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</si>
  <si>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</si>
  <si>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</si>
  <si>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</si>
  <si>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</si>
  <si>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</si>
  <si>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</si>
  <si>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</si>
  <si>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</si>
  <si>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</si>
  <si>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</si>
  <si>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</si>
  <si>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</si>
  <si>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</si>
  <si>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</si>
  <si>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</si>
  <si>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</si>
  <si>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</si>
  <si>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</si>
  <si>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</si>
  <si>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</si>
  <si>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</si>
  <si>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</si>
  <si>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</si>
  <si>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</si>
  <si>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</si>
  <si>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</si>
  <si>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</si>
  <si>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</si>
  <si>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</si>
  <si>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</si>
  <si>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</si>
  <si>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</si>
  <si>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</si>
  <si>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</si>
  <si>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</si>
  <si>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</si>
  <si>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</si>
  <si>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</si>
  <si>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</si>
  <si>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</si>
  <si>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</si>
  <si>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</si>
  <si>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</si>
  <si>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</si>
  <si>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</si>
  <si>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</si>
  <si>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</si>
  <si>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</si>
  <si>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</si>
  <si>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</si>
  <si>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</si>
  <si>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</si>
  <si>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</si>
  <si>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</si>
  <si>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</si>
  <si>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</si>
  <si>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</si>
  <si>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</si>
  <si>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</si>
  <si>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</si>
  <si>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</si>
  <si>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</si>
  <si>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</si>
  <si>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</si>
  <si>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</si>
  <si>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</si>
  <si>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</si>
  <si>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</si>
  <si>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</si>
  <si>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</si>
  <si>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</si>
  <si>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</si>
  <si>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</si>
  <si>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</si>
  <si>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</si>
  <si>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</si>
  <si>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</si>
  <si>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</si>
  <si>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</si>
  <si>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</si>
  <si>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</si>
  <si>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</si>
  <si>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</si>
  <si>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</si>
  <si>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</si>
  <si>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</si>
  <si>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</si>
  <si>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</si>
  <si>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</si>
  <si>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</si>
  <si>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</si>
  <si>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</si>
  <si>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</si>
  <si>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</si>
  <si>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</si>
  <si>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</si>
  <si>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</si>
  <si>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</si>
  <si>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</si>
  <si>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</si>
  <si>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</si>
  <si>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</si>
  <si>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</si>
  <si>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</si>
  <si>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</si>
  <si>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</si>
  <si>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</si>
  <si>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</si>
  <si>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</si>
  <si>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</si>
  <si>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</si>
  <si>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</si>
  <si>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</si>
  <si>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</si>
  <si>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</si>
  <si>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</si>
  <si>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</si>
  <si>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</si>
  <si>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</si>
  <si>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</si>
  <si>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</si>
  <si>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</si>
  <si>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</si>
  <si>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</si>
  <si>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</si>
  <si>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</si>
  <si>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</si>
  <si>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</si>
  <si>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</si>
  <si>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</si>
  <si>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</si>
  <si>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</si>
  <si>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</si>
  <si>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</si>
  <si>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</si>
  <si>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</si>
  <si>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</si>
  <si>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</si>
  <si>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</si>
  <si>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</si>
  <si>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</si>
  <si>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</si>
  <si>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</si>
  <si>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</si>
  <si>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</si>
  <si>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</si>
  <si>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</si>
  <si>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</si>
  <si>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</si>
  <si>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</si>
  <si>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</si>
  <si>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</si>
  <si>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</si>
  <si>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</si>
  <si>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</si>
  <si>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</si>
  <si>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</si>
  <si>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</si>
  <si>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</si>
  <si>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</si>
  <si>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</si>
  <si>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</si>
  <si>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</si>
  <si>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</si>
  <si>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</si>
  <si>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</si>
  <si>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</si>
  <si>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</si>
  <si>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</si>
  <si>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</si>
  <si>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</si>
  <si>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</si>
  <si>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</si>
  <si>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</si>
  <si>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</si>
  <si>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</si>
  <si>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</si>
  <si>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</si>
  <si>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</si>
  <si>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</si>
  <si>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</si>
  <si>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</si>
  <si>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</si>
  <si>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</si>
  <si>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</si>
  <si>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</si>
  <si>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</si>
  <si>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</si>
  <si>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</si>
  <si>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</si>
  <si>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</si>
  <si>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</si>
  <si>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</si>
  <si>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</si>
  <si>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</si>
  <si>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</si>
  <si>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</si>
  <si>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</si>
  <si>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</si>
  <si>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</si>
  <si>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</si>
  <si>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</si>
  <si>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</si>
  <si>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</si>
  <si>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</si>
  <si>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</si>
  <si>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</si>
  <si>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</si>
  <si>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</si>
  <si>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</si>
  <si>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</si>
  <si>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</si>
  <si>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</si>
  <si>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</si>
  <si>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</si>
  <si>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</si>
  <si>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</si>
  <si>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</si>
  <si>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</si>
  <si>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</si>
  <si>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</si>
  <si>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</si>
  <si>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</si>
  <si>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</si>
  <si>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</si>
  <si>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</si>
  <si>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</si>
  <si>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</si>
  <si>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</si>
  <si>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</si>
  <si>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</si>
  <si>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</si>
  <si>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</si>
  <si>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</si>
  <si>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</si>
  <si>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</si>
  <si>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</si>
  <si>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</si>
  <si>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</si>
  <si>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</si>
  <si>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</si>
  <si>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</si>
  <si>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</si>
  <si>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</si>
  <si>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</si>
  <si>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</si>
  <si>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</si>
  <si>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</si>
  <si>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</si>
  <si>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</si>
  <si>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</si>
  <si>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</si>
  <si>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</si>
  <si>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</si>
  <si>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</si>
  <si>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</si>
  <si>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</si>
  <si>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</si>
  <si>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</si>
  <si>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</si>
  <si>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ESD 105</t>
  </si>
  <si>
    <t>ESD 112</t>
  </si>
  <si>
    <t>ESD 123</t>
  </si>
  <si>
    <t>ESD 101</t>
  </si>
  <si>
    <t>ESD 113</t>
  </si>
  <si>
    <t>Sort</t>
  </si>
  <si>
    <t>D. Allowed Carryover :</t>
  </si>
  <si>
    <r>
      <t>D. Allowed Carryover :</t>
    </r>
    <r>
      <rPr>
        <b/>
        <sz val="10"/>
        <color rgb="FFFF0000"/>
        <rFont val="Calibri"/>
        <family val="2"/>
        <scheme val="minor"/>
      </rPr>
      <t xml:space="preserve"> </t>
    </r>
  </si>
  <si>
    <t>E. Unspent (C + D - A - B)</t>
  </si>
  <si>
    <t>05903</t>
  </si>
  <si>
    <t>ESA 112</t>
  </si>
  <si>
    <t>06701</t>
  </si>
  <si>
    <t>SUMMIT: ATLAS</t>
  </si>
  <si>
    <t>17905</t>
  </si>
  <si>
    <t>17910</t>
  </si>
  <si>
    <t>SUMMIT: OLYMPUS</t>
  </si>
  <si>
    <t>WA HE LUT</t>
  </si>
  <si>
    <t>34901</t>
  </si>
  <si>
    <t>O7HP</t>
  </si>
  <si>
    <t>HP LAP Total</t>
  </si>
  <si>
    <t>Regular LAP Total</t>
  </si>
  <si>
    <t>FED RESTRICTED</t>
  </si>
  <si>
    <t>A.  Regular Allocation</t>
  </si>
  <si>
    <t>A. High Poverty Allocation</t>
  </si>
  <si>
    <t>C. Direct Regular Expenditures</t>
  </si>
  <si>
    <t>C. Direct High Poverty Expenditures</t>
  </si>
  <si>
    <t xml:space="preserve">  Program 55 LAP Regular</t>
  </si>
  <si>
    <t xml:space="preserve">  Program 55 LAP High Poverty</t>
  </si>
  <si>
    <t>Fire District Payment (in July's Report 1191 line VI.10.)</t>
  </si>
  <si>
    <t>G. Carryover Regular:</t>
  </si>
  <si>
    <t>H. Recovery Regular (F + G - A)</t>
  </si>
  <si>
    <t>G. Carryover High Poverty:</t>
  </si>
  <si>
    <t>H. Recovery High Poverty (F + G - A)</t>
  </si>
  <si>
    <t>27901</t>
  </si>
  <si>
    <t>CHIEF LESCHI</t>
  </si>
  <si>
    <t>17911</t>
  </si>
  <si>
    <t>LAP Regular</t>
  </si>
  <si>
    <t xml:space="preserve"> 075Ahp</t>
  </si>
  <si>
    <t>LAP HiPov</t>
  </si>
  <si>
    <t>E. State Recovery Rate</t>
  </si>
  <si>
    <t>C. State Recovery Rate</t>
  </si>
  <si>
    <t>INST CARRYOVER</t>
  </si>
  <si>
    <t>ACCT. 4156 &amp; 34</t>
  </si>
  <si>
    <t>INST. 4156</t>
  </si>
  <si>
    <t>ACCT. 4126</t>
  </si>
  <si>
    <t>CTE 9-12 TOTAL</t>
  </si>
  <si>
    <t>BASIC ED</t>
  </si>
  <si>
    <t xml:space="preserve">Basic Ed </t>
  </si>
  <si>
    <t>Per Student</t>
  </si>
  <si>
    <t xml:space="preserve">Alloc </t>
  </si>
  <si>
    <t>per Student</t>
  </si>
  <si>
    <t>Z603</t>
  </si>
  <si>
    <t>Z583</t>
  </si>
  <si>
    <t>CTE 7-8 TOTAL</t>
  </si>
  <si>
    <t>YAKAMA</t>
  </si>
  <si>
    <t>39901</t>
  </si>
  <si>
    <t>D. Fed Restricted Recovery Rate</t>
  </si>
  <si>
    <t>F. Carryover (Lesser of D, A+B-C; 
if C greater than zero)</t>
  </si>
  <si>
    <t>4156 &amp; 34</t>
  </si>
  <si>
    <t>RAINIER VALLEY LEADERSHIP ACADEMY</t>
  </si>
  <si>
    <t>18901</t>
  </si>
  <si>
    <t>CATALYST</t>
  </si>
  <si>
    <t>IMPACT PUGET SOUND</t>
  </si>
  <si>
    <t>17916</t>
  </si>
  <si>
    <t>IMPACT SALISH SEA</t>
  </si>
  <si>
    <t>LUMEN</t>
  </si>
  <si>
    <t>32903</t>
  </si>
  <si>
    <t>WEST VALLEY (SPOKANE)</t>
  </si>
  <si>
    <t>WEST VALLEY (YAKIMA)</t>
  </si>
  <si>
    <t>SUMMIT: SIERRA</t>
  </si>
  <si>
    <t>SPOKANE INT'L</t>
  </si>
  <si>
    <t>RAINIER PREP</t>
  </si>
  <si>
    <t>PRIDE PREP</t>
  </si>
  <si>
    <t>NASELLE GRAYS RIVER</t>
  </si>
  <si>
    <t>EAST VALLEY (YAKIMA)</t>
  </si>
  <si>
    <t>EVERGREEN (STEVENS)</t>
  </si>
  <si>
    <t>COLUMBIA (STEVENS)</t>
  </si>
  <si>
    <t>157A</t>
  </si>
  <si>
    <t>TRN 4199 Total bfr Adjust</t>
  </si>
  <si>
    <t>C. Recovery Rate</t>
  </si>
  <si>
    <t>E.  Revenue 7199</t>
  </si>
  <si>
    <t>F. (D - E)</t>
  </si>
  <si>
    <t>G. Vocational Basic Ed</t>
  </si>
  <si>
    <t>H. Vocational Basic Ed per Student (G / F)</t>
  </si>
  <si>
    <t>I. Vocational Alloc per Student (A / F)</t>
  </si>
  <si>
    <t>J. Vocational Enhancement (I - H) * F</t>
  </si>
  <si>
    <t>K.  Recovery (Lesser of E or -J)</t>
  </si>
  <si>
    <t>G. Lesser of A or F</t>
  </si>
  <si>
    <t>I. Recovery (G - A)</t>
  </si>
  <si>
    <t>27902</t>
  </si>
  <si>
    <t>LUMMI</t>
  </si>
  <si>
    <t>MUCKLESHOOT</t>
  </si>
  <si>
    <t>ESD 171</t>
  </si>
  <si>
    <t>ESD 189</t>
  </si>
  <si>
    <t>ESD 114</t>
  </si>
  <si>
    <t>ESD 121</t>
  </si>
  <si>
    <t>QUILEUTE</t>
  </si>
  <si>
    <t>SUQUAMISH</t>
  </si>
  <si>
    <t>PINNACLES PREP</t>
  </si>
  <si>
    <t>38901</t>
  </si>
  <si>
    <t>PULLMAN COMMUNITY MONTESSORI</t>
  </si>
  <si>
    <t>37902</t>
  </si>
  <si>
    <t>WHATCOM INTERGENERATIONAL</t>
  </si>
  <si>
    <t>17917</t>
  </si>
  <si>
    <t>WHY NOT YOU</t>
  </si>
  <si>
    <t>IMPACT TACOMA</t>
  </si>
  <si>
    <t>04901</t>
  </si>
  <si>
    <t>IMPACT BLACK RIVER</t>
  </si>
  <si>
    <t>17919</t>
  </si>
  <si>
    <t>PASCHAL SHERMAN</t>
  </si>
  <si>
    <t>24915</t>
  </si>
  <si>
    <t>ROOTED VANCOUVER</t>
  </si>
  <si>
    <t>06901</t>
  </si>
  <si>
    <t>2023-24 Estimated State Recoveries and Carryover using Allocations as of April 2024</t>
  </si>
  <si>
    <t>Worksheet for Estimating 2023-24 State Recoveries and Carryover</t>
  </si>
  <si>
    <t>Select district, then enter amounts in cells B12 through B31 to calculate estimated recoveries.</t>
  </si>
  <si>
    <r>
      <t xml:space="preserve">B. Prior Year Carryover </t>
    </r>
    <r>
      <rPr>
        <sz val="10"/>
        <color rgb="FF0070C0"/>
        <rFont val="Calibri"/>
        <family val="2"/>
        <scheme val="minor"/>
      </rPr>
      <t>(only displayed on 1191SN)</t>
    </r>
  </si>
  <si>
    <r>
      <t xml:space="preserve">B. Prior Year Carryover </t>
    </r>
    <r>
      <rPr>
        <sz val="10"/>
        <color rgb="FF0070C0"/>
        <rFont val="Calibri"/>
        <family val="2"/>
        <scheme val="minor"/>
      </rPr>
      <t>(only displayed on 1191CTE)</t>
    </r>
  </si>
  <si>
    <r>
      <t xml:space="preserve">B. Prior Year Carryover </t>
    </r>
    <r>
      <rPr>
        <sz val="10"/>
        <color rgb="FF0070C0"/>
        <rFont val="Calibri"/>
        <family val="2"/>
        <scheme val="minor"/>
      </rPr>
      <t xml:space="preserve"> (only displayed on 1191MSCTE)</t>
    </r>
  </si>
  <si>
    <t>WAC 392-122-900: Indirect cost limitations</t>
  </si>
  <si>
    <t>WAC 392-121-578: Vocational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</si>
</sst>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_(* #,##0.00_);_(* \(#,##0.00\);_(* &quot;-&quot;_);_(@_)"/>
    <numFmt numFmtId="166" formatCode="_(* #,##0_);_(* \(#,##0\);_(* &quot;-&quot;??_);_(@_)"/>
    <numFmt numFmtId="167" formatCode="_(* #,##0.0000_);_(* \(#,##0.0000\);_(* &quot;-&quot;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T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41" fontId="0" fillId="0" borderId="0" xfId="1" applyNumberFormat="1" applyFont="1"/>
    <xf numFmtId="0" fontId="13" fillId="0" borderId="0" xfId="0" applyFont="1"/>
    <xf numFmtId="0" fontId="14" fillId="0" borderId="0" xfId="0" applyFont="1"/>
    <xf numFmtId="0" fontId="14" fillId="2" borderId="0" xfId="0" applyFont="1" applyFill="1"/>
    <xf numFmtId="0" fontId="15" fillId="0" borderId="7" xfId="0" applyFont="1" applyBorder="1"/>
    <xf numFmtId="0" fontId="14" fillId="2" borderId="7" xfId="0" applyFont="1" applyFill="1" applyBorder="1"/>
    <xf numFmtId="164" fontId="15" fillId="0" borderId="0" xfId="4" quotePrefix="1" applyNumberFormat="1" applyFont="1" applyAlignment="1">
      <alignment horizontal="left"/>
    </xf>
    <xf numFmtId="0" fontId="15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3" xfId="0" quotePrefix="1" applyFont="1" applyBorder="1"/>
    <xf numFmtId="7" fontId="16" fillId="2" borderId="4" xfId="4" quotePrefix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7" fontId="16" fillId="0" borderId="0" xfId="4" quotePrefix="1" applyNumberFormat="1" applyFont="1" applyAlignment="1">
      <alignment horizontal="right"/>
    </xf>
    <xf numFmtId="7" fontId="16" fillId="0" borderId="0" xfId="0" applyNumberFormat="1" applyFont="1"/>
    <xf numFmtId="0" fontId="16" fillId="0" borderId="0" xfId="0" applyFont="1"/>
    <xf numFmtId="0" fontId="14" fillId="0" borderId="6" xfId="0" applyFont="1" applyBorder="1"/>
    <xf numFmtId="7" fontId="16" fillId="2" borderId="5" xfId="4" quotePrefix="1" applyNumberFormat="1" applyFont="1" applyFill="1" applyBorder="1" applyAlignment="1">
      <alignment horizontal="right"/>
    </xf>
    <xf numFmtId="0" fontId="15" fillId="0" borderId="0" xfId="0" applyFont="1"/>
    <xf numFmtId="7" fontId="15" fillId="0" borderId="0" xfId="0" quotePrefix="1" applyNumberFormat="1" applyFont="1"/>
    <xf numFmtId="7" fontId="14" fillId="0" borderId="0" xfId="4" quotePrefix="1" applyNumberFormat="1" applyFont="1" applyAlignment="1">
      <alignment horizontal="right"/>
    </xf>
    <xf numFmtId="7" fontId="16" fillId="0" borderId="0" xfId="0" quotePrefix="1" applyNumberFormat="1" applyFont="1"/>
    <xf numFmtId="10" fontId="16" fillId="0" borderId="0" xfId="4" quotePrefix="1" applyNumberFormat="1" applyFont="1" applyAlignment="1">
      <alignment horizontal="right"/>
    </xf>
    <xf numFmtId="7" fontId="15" fillId="0" borderId="0" xfId="4" quotePrefix="1" applyNumberFormat="1" applyFont="1"/>
    <xf numFmtId="7" fontId="15" fillId="0" borderId="0" xfId="4" quotePrefix="1" applyNumberFormat="1" applyFont="1" applyAlignment="1">
      <alignment horizontal="right"/>
    </xf>
    <xf numFmtId="0" fontId="16" fillId="2" borderId="0" xfId="0" applyFont="1" applyFill="1"/>
    <xf numFmtId="0" fontId="17" fillId="0" borderId="0" xfId="6" applyFont="1"/>
    <xf numFmtId="0" fontId="14" fillId="3" borderId="0" xfId="0" quotePrefix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3" borderId="0" xfId="0" applyFont="1" applyFill="1"/>
    <xf numFmtId="43" fontId="14" fillId="0" borderId="0" xfId="0" applyNumberFormat="1" applyFont="1" applyAlignment="1">
      <alignment horizontal="center"/>
    </xf>
    <xf numFmtId="0" fontId="14" fillId="0" borderId="0" xfId="0" quotePrefix="1" applyFont="1" applyAlignment="1">
      <alignment horizontal="center"/>
    </xf>
    <xf numFmtId="41" fontId="14" fillId="0" borderId="0" xfId="0" applyNumberFormat="1" applyFont="1"/>
    <xf numFmtId="41" fontId="14" fillId="0" borderId="0" xfId="1" applyNumberFormat="1" applyFont="1"/>
    <xf numFmtId="165" fontId="14" fillId="0" borderId="0" xfId="1" applyNumberFormat="1" applyFont="1"/>
    <xf numFmtId="43" fontId="14" fillId="0" borderId="0" xfId="1" applyFont="1"/>
    <xf numFmtId="0" fontId="19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4" fillId="0" borderId="0" xfId="1" applyNumberFormat="1" applyFont="1"/>
    <xf numFmtId="2" fontId="16" fillId="0" borderId="0" xfId="1" quotePrefix="1" applyNumberFormat="1" applyFont="1" applyFill="1" applyBorder="1" applyAlignment="1" applyProtection="1">
      <alignment horizontal="right"/>
    </xf>
    <xf numFmtId="0" fontId="15" fillId="0" borderId="8" xfId="0" applyFont="1" applyBorder="1"/>
    <xf numFmtId="0" fontId="14" fillId="0" borderId="10" xfId="0" applyFont="1" applyBorder="1"/>
    <xf numFmtId="0" fontId="14" fillId="6" borderId="0" xfId="0" applyFont="1" applyFill="1" applyAlignment="1">
      <alignment horizontal="center"/>
    </xf>
    <xf numFmtId="0" fontId="14" fillId="5" borderId="0" xfId="0" applyFont="1" applyFill="1"/>
    <xf numFmtId="7" fontId="14" fillId="0" borderId="0" xfId="0" applyNumberFormat="1" applyFont="1"/>
    <xf numFmtId="0" fontId="16" fillId="7" borderId="0" xfId="0" applyFont="1" applyFill="1"/>
    <xf numFmtId="167" fontId="14" fillId="0" borderId="0" xfId="1" applyNumberFormat="1" applyFont="1"/>
    <xf numFmtId="2" fontId="14" fillId="0" borderId="0" xfId="0" applyNumberFormat="1" applyFont="1" applyAlignment="1">
      <alignment horizontal="right"/>
    </xf>
    <xf numFmtId="0" fontId="21" fillId="0" borderId="0" xfId="6" applyFont="1"/>
    <xf numFmtId="0" fontId="20" fillId="0" borderId="0" xfId="9" applyFont="1"/>
    <xf numFmtId="0" fontId="20" fillId="6" borderId="0" xfId="9" applyFont="1" applyFill="1"/>
    <xf numFmtId="0" fontId="14" fillId="0" borderId="0" xfId="0" applyFont="1" applyAlignment="1">
      <alignment vertical="top"/>
    </xf>
    <xf numFmtId="41" fontId="14" fillId="0" borderId="0" xfId="0" applyNumberFormat="1" applyFont="1" applyAlignment="1">
      <alignment horizontal="left" vertical="top"/>
    </xf>
    <xf numFmtId="165" fontId="14" fillId="0" borderId="0" xfId="0" applyNumberFormat="1" applyFont="1" applyAlignment="1">
      <alignment horizontal="left" vertical="top"/>
    </xf>
    <xf numFmtId="0" fontId="14" fillId="0" borderId="0" xfId="8" applyFont="1"/>
    <xf numFmtId="0" fontId="14" fillId="4" borderId="0" xfId="8" applyFont="1" applyFill="1"/>
    <xf numFmtId="0" fontId="14" fillId="0" borderId="0" xfId="8" quotePrefix="1" applyFont="1"/>
    <xf numFmtId="0" fontId="14" fillId="8" borderId="0" xfId="8" applyFont="1" applyFill="1"/>
    <xf numFmtId="0" fontId="20" fillId="4" borderId="0" xfId="7" applyFont="1" applyFill="1"/>
    <xf numFmtId="0" fontId="14" fillId="4" borderId="0" xfId="8" quotePrefix="1" applyFont="1" applyFill="1"/>
    <xf numFmtId="43" fontId="21" fillId="0" borderId="0" xfId="6" applyNumberFormat="1" applyFont="1"/>
    <xf numFmtId="165" fontId="14" fillId="6" borderId="0" xfId="0" applyNumberFormat="1" applyFont="1" applyFill="1" applyAlignment="1">
      <alignment horizontal="left" vertical="top"/>
    </xf>
    <xf numFmtId="0" fontId="12" fillId="0" borderId="0" xfId="3" quotePrefix="1"/>
    <xf numFmtId="0" fontId="12" fillId="0" borderId="0" xfId="3"/>
    <xf numFmtId="4" fontId="5" fillId="0" borderId="0" xfId="8" applyNumberFormat="1"/>
    <xf numFmtId="4" fontId="12" fillId="0" borderId="0" xfId="3" quotePrefix="1" applyNumberFormat="1"/>
    <xf numFmtId="167" fontId="14" fillId="6" borderId="0" xfId="0" applyNumberFormat="1" applyFont="1" applyFill="1" applyAlignment="1">
      <alignment horizontal="left" vertical="top"/>
    </xf>
    <xf numFmtId="0" fontId="23" fillId="0" borderId="0" xfId="14"/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7" fontId="14" fillId="9" borderId="0" xfId="1" applyNumberFormat="1" applyFont="1" applyFill="1"/>
    <xf numFmtId="0" fontId="20" fillId="9" borderId="0" xfId="9" applyFont="1" applyFill="1"/>
  </cellXfs>
  <cellStyles count="15">
    <cellStyle name="Comma" xfId="1" builtinId="3"/>
    <cellStyle name="Comma 2" xfId="2" xr:uid="{00000000-0005-0000-0000-000001000000}"/>
    <cellStyle name="Hyperlink" xfId="14" builtinId="8"/>
    <cellStyle name="Normal" xfId="0" builtinId="0"/>
    <cellStyle name="Normal 2" xfId="3" xr:uid="{00000000-0005-0000-0000-000003000000}"/>
    <cellStyle name="Normal 2 2 2 2 2 2 3" xfId="12" xr:uid="{49DE3E28-E5F0-4037-B3AA-506E077195A0}"/>
    <cellStyle name="Normal 2 2 2 2 3" xfId="11" xr:uid="{978614EF-1EF3-48CE-9DAE-08877B80ACE4}"/>
    <cellStyle name="Normal 2 4" xfId="6" xr:uid="{00000000-0005-0000-0000-000004000000}"/>
    <cellStyle name="Normal 3" xfId="5" xr:uid="{00000000-0005-0000-0000-000005000000}"/>
    <cellStyle name="Normal 3 2" xfId="7" xr:uid="{00000000-0005-0000-0000-000006000000}"/>
    <cellStyle name="Normal 3 2 2" xfId="13" xr:uid="{AD85E7EE-5E3E-415B-B694-89D18CB28C04}"/>
    <cellStyle name="Normal 4" xfId="8" xr:uid="{00000000-0005-0000-0000-000007000000}"/>
    <cellStyle name="Normal 4 2" xfId="10" xr:uid="{2F4AECC7-33BE-4192-98A3-02260B40B092}"/>
    <cellStyle name="Normal 5" xfId="9" xr:uid="{92580912-5760-40EE-86DF-ADE25EC35E4A}"/>
    <cellStyle name="Normal_A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15874</xdr:colOff>
      <xdr:row>105</xdr:row>
      <xdr:rowOff>47625</xdr:rowOff>
    </xdr:from>
    <xdr:ext cx="11191875" cy="4210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74" y="21764625"/>
          <a:ext cx="11191875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Apportionment Reports by </a:t>
          </a:r>
          <a:r>
            <a:rPr lang="en-US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Office of Superintendent of Public Instruction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is licensed under a </a:t>
          </a:r>
          <a:r>
            <a:rPr lang="en-US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Creative Commons Attribution 4.0 International License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oneCellAnchor>
  <xdr:twoCellAnchor editAs="oneCell">
    <xdr:from>
      <xdr:col>0</xdr:col>
      <xdr:colOff>47624</xdr:colOff>
      <xdr:row>105</xdr:row>
      <xdr:rowOff>111125</xdr:rowOff>
    </xdr:from>
    <xdr:to>
      <xdr:col>0</xdr:col>
      <xdr:colOff>817244</xdr:colOff>
      <xdr:row>106</xdr:row>
      <xdr:rowOff>96679</xdr:rowOff>
    </xdr:to>
    <xdr:pic>
      <xdr:nvPicPr>
        <xdr:cNvPr id="3" name="Picture 2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1828125"/>
          <a:ext cx="762000" cy="14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leg.wa.gov/WAC/default.aspx?cite=392-121-578" TargetMode="External"/><Relationship Id="rId1" Type="http://schemas.openxmlformats.org/officeDocument/2006/relationships/hyperlink" Target="https://app.leg.wa.gov/wac/default.aspx?cite=392-122-90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5"/>
  <sheetViews>
    <sheetView tabSelected="1" zoomScaleNormal="100" workbookViewId="0">
      <pane ySplit="8" topLeftCell="A9" activePane="bottomLeft" state="frozen"/>
      <selection pane="bottomLeft" activeCell="B4" sqref="B4"/>
    </sheetView>
  </sheetViews>
  <sheetFormatPr defaultColWidth="9.140625" defaultRowHeight="12.75"/>
  <cols>
    <col min="1" max="1" width="44.7109375" style="3" customWidth="1"/>
    <col min="2" max="2" width="19.7109375" style="3" customWidth="1"/>
    <col min="3" max="4" width="2.7109375" style="3" customWidth="1"/>
    <col min="5" max="5" width="47.5703125" style="3" bestFit="1" customWidth="1"/>
    <col min="6" max="6" width="18.140625" style="3" bestFit="1" customWidth="1"/>
    <col min="7" max="7" width="16.7109375" style="3" bestFit="1" customWidth="1"/>
    <col min="8" max="8" width="13.7109375" style="3" bestFit="1" customWidth="1"/>
    <col min="9" max="9" width="14.42578125" style="3" bestFit="1" customWidth="1"/>
    <col min="10" max="16384" width="9.140625" style="3"/>
  </cols>
  <sheetData>
    <row r="1" spans="1:6" ht="18.75">
      <c r="A1" s="2" t="s">
        <v>822</v>
      </c>
    </row>
    <row r="2" spans="1:6" ht="15.75">
      <c r="A2" s="27" t="s">
        <v>823</v>
      </c>
      <c r="B2" s="4"/>
      <c r="C2" s="4"/>
      <c r="D2" s="4"/>
      <c r="E2" s="4"/>
      <c r="F2" s="4"/>
    </row>
    <row r="3" spans="1:6">
      <c r="A3" s="3" t="str">
        <f>VLOOKUP($B$4,ALLOC!$A$7:$B$337,2,FALSE)</f>
        <v>14005</v>
      </c>
    </row>
    <row r="4" spans="1:6" ht="15.75">
      <c r="A4" s="5" t="s">
        <v>352</v>
      </c>
      <c r="B4" s="6" t="s">
        <v>487</v>
      </c>
    </row>
    <row r="6" spans="1:6" ht="15.75">
      <c r="A6" s="20" t="s">
        <v>821</v>
      </c>
    </row>
    <row r="7" spans="1:6" ht="10.5" customHeight="1">
      <c r="A7" s="2"/>
    </row>
    <row r="8" spans="1:6" ht="18.75">
      <c r="A8" s="2"/>
      <c r="B8" s="7" t="str">
        <f>VLOOKUP($A$3,Data,2,FALSE)</f>
        <v>14005 ABERDEEN SCHOOL DISTRICT</v>
      </c>
    </row>
    <row r="10" spans="1:6" ht="15.75">
      <c r="A10" s="8" t="s">
        <v>342</v>
      </c>
      <c r="B10" s="9"/>
      <c r="E10" s="72" t="s">
        <v>335</v>
      </c>
      <c r="F10" s="72"/>
    </row>
    <row r="11" spans="1:6" ht="15.75">
      <c r="A11" s="10" t="s">
        <v>307</v>
      </c>
      <c r="B11" s="11"/>
      <c r="E11" s="40" t="s">
        <v>333</v>
      </c>
      <c r="F11" s="14" t="s">
        <v>334</v>
      </c>
    </row>
    <row r="12" spans="1:6" ht="15.75">
      <c r="A12" s="12" t="s">
        <v>308</v>
      </c>
      <c r="B12" s="13">
        <v>0</v>
      </c>
      <c r="E12" s="15">
        <f>B45</f>
        <v>-5958708.5</v>
      </c>
      <c r="F12" s="16">
        <f>B44</f>
        <v>554482.77</v>
      </c>
    </row>
    <row r="13" spans="1:6" ht="15.75">
      <c r="A13" s="10" t="s">
        <v>409</v>
      </c>
      <c r="B13" s="13">
        <v>0</v>
      </c>
      <c r="E13" s="15">
        <f>B60</f>
        <v>-176844.35</v>
      </c>
      <c r="F13" s="16">
        <f>B54</f>
        <v>0</v>
      </c>
    </row>
    <row r="14" spans="1:6" ht="15.75">
      <c r="A14" s="10" t="s">
        <v>410</v>
      </c>
      <c r="B14" s="13">
        <v>0</v>
      </c>
      <c r="E14" s="15">
        <f>F60</f>
        <v>-51879.55</v>
      </c>
      <c r="F14" s="16">
        <f>F54</f>
        <v>0</v>
      </c>
    </row>
    <row r="15" spans="1:6" ht="15.75">
      <c r="A15" s="10" t="s">
        <v>734</v>
      </c>
      <c r="B15" s="13">
        <v>0</v>
      </c>
      <c r="E15" s="15">
        <f>B71</f>
        <v>-1437870.23</v>
      </c>
      <c r="F15" s="16">
        <f>B70</f>
        <v>143206.65</v>
      </c>
    </row>
    <row r="16" spans="1:6" ht="15.75">
      <c r="A16" s="10" t="s">
        <v>735</v>
      </c>
      <c r="B16" s="13">
        <v>0</v>
      </c>
      <c r="E16" s="16">
        <f>F71</f>
        <v>-877791.55</v>
      </c>
      <c r="F16" s="16">
        <f>F70</f>
        <v>93379.38</v>
      </c>
    </row>
    <row r="17" spans="1:6" ht="15.75">
      <c r="A17" s="10" t="s">
        <v>309</v>
      </c>
      <c r="B17" s="13">
        <v>0</v>
      </c>
      <c r="E17" s="15">
        <f>B79</f>
        <v>-748722</v>
      </c>
      <c r="F17" s="49"/>
    </row>
    <row r="18" spans="1:6" ht="15.75">
      <c r="A18" s="12" t="s">
        <v>310</v>
      </c>
      <c r="B18" s="13">
        <v>0</v>
      </c>
      <c r="E18" s="15">
        <f>F79</f>
        <v>-93607.94</v>
      </c>
      <c r="F18" s="49"/>
    </row>
    <row r="19" spans="1:6" ht="15.75">
      <c r="A19" s="12" t="s">
        <v>311</v>
      </c>
      <c r="B19" s="13">
        <v>0</v>
      </c>
      <c r="E19" s="15">
        <f>F100</f>
        <v>-1670970.67</v>
      </c>
      <c r="F19" s="49"/>
    </row>
    <row r="20" spans="1:6" ht="15.75">
      <c r="A20" s="10" t="s">
        <v>312</v>
      </c>
      <c r="B20" s="13">
        <v>0</v>
      </c>
      <c r="E20" s="15">
        <f>B90</f>
        <v>0</v>
      </c>
      <c r="F20" s="16">
        <f>B89</f>
        <v>0</v>
      </c>
    </row>
    <row r="21" spans="1:6" ht="15.75">
      <c r="A21" s="10" t="str">
        <f>IF(MID(B8,3,1)="8","  Program 34 State Institution","  Program 56 State Institution")</f>
        <v xml:space="preserve">  Program 56 State Institution</v>
      </c>
      <c r="B21" s="13">
        <v>0</v>
      </c>
      <c r="E21" s="15">
        <f>F90</f>
        <v>-249223.16</v>
      </c>
      <c r="F21" s="16">
        <f>F89</f>
        <v>28712.35</v>
      </c>
    </row>
    <row r="22" spans="1:6" ht="15.75">
      <c r="A22" s="10" t="str">
        <f>IF(MID(B9,3,1)="8","  Program 34 State Institution","  Program 59 State Institution")</f>
        <v xml:space="preserve">  Program 59 State Institution</v>
      </c>
      <c r="B22" s="13">
        <v>0</v>
      </c>
      <c r="E22" s="15">
        <f>B101</f>
        <v>0</v>
      </c>
      <c r="F22" s="16">
        <f>B100</f>
        <v>0</v>
      </c>
    </row>
    <row r="23" spans="1:6" ht="15.75">
      <c r="A23" s="10" t="s">
        <v>353</v>
      </c>
      <c r="B23" s="11"/>
      <c r="E23" s="40" t="s">
        <v>367</v>
      </c>
      <c r="F23" s="14" t="s">
        <v>358</v>
      </c>
    </row>
    <row r="24" spans="1:6" ht="15.75">
      <c r="A24" s="10" t="s">
        <v>354</v>
      </c>
      <c r="B24" s="13">
        <v>0</v>
      </c>
      <c r="E24" s="15">
        <f>VLOOKUP($A$3,Data,39,FALSE)</f>
        <v>2500</v>
      </c>
      <c r="F24" s="15">
        <f>E24-B24</f>
        <v>2500</v>
      </c>
    </row>
    <row r="25" spans="1:6" ht="15.75" hidden="1">
      <c r="A25" s="10" t="s">
        <v>355</v>
      </c>
      <c r="B25" s="13" t="e">
        <f>VLOOKUP($A$3,Data,41)</f>
        <v>#REF!</v>
      </c>
      <c r="E25" s="15">
        <f>VLOOKUP($A$3,Data,29,FALSE)</f>
        <v>267.08</v>
      </c>
      <c r="F25" s="15" t="e">
        <f t="shared" ref="F25:F26" si="0">E25-B25</f>
        <v>#REF!</v>
      </c>
    </row>
    <row r="26" spans="1:6" ht="15.75" hidden="1">
      <c r="A26" s="10" t="s">
        <v>356</v>
      </c>
      <c r="B26" s="13" t="e">
        <f>VLOOKUP($A$3,Data,41)</f>
        <v>#REF!</v>
      </c>
      <c r="E26" s="15">
        <f>VLOOKUP($A$3,Data,30,FALSE)</f>
        <v>2363029.86</v>
      </c>
      <c r="F26" s="15" t="e">
        <f t="shared" si="0"/>
        <v>#REF!</v>
      </c>
    </row>
    <row r="27" spans="1:6" ht="15.75">
      <c r="A27" s="10" t="s">
        <v>357</v>
      </c>
      <c r="B27" s="13">
        <v>0</v>
      </c>
      <c r="E27" s="15">
        <f>VLOOKUP($A$3,Data,40,FALSE)</f>
        <v>0</v>
      </c>
      <c r="F27" s="15">
        <f>E27-B27</f>
        <v>0</v>
      </c>
    </row>
    <row r="28" spans="1:6" ht="15.75">
      <c r="A28" s="10" t="s">
        <v>736</v>
      </c>
      <c r="B28" s="13">
        <v>0</v>
      </c>
      <c r="E28" s="15">
        <f>VLOOKUP($A$3,Data,24,FALSE)</f>
        <v>0</v>
      </c>
      <c r="F28" s="15">
        <f>E28-B28</f>
        <v>0</v>
      </c>
    </row>
    <row r="29" spans="1:6">
      <c r="A29" s="10" t="s">
        <v>338</v>
      </c>
      <c r="B29" s="11"/>
      <c r="E29" s="41"/>
    </row>
    <row r="30" spans="1:6" ht="15.75">
      <c r="A30" s="10" t="s">
        <v>336</v>
      </c>
      <c r="B30" s="13">
        <v>0</v>
      </c>
      <c r="E30" s="41"/>
    </row>
    <row r="31" spans="1:6" ht="15.75">
      <c r="A31" s="18" t="s">
        <v>337</v>
      </c>
      <c r="B31" s="19">
        <v>0</v>
      </c>
      <c r="E31" s="15"/>
    </row>
    <row r="32" spans="1:6" ht="10.5" customHeight="1">
      <c r="A32" s="20"/>
      <c r="B32" s="21"/>
      <c r="E32" s="20"/>
      <c r="F32" s="21"/>
    </row>
    <row r="33" spans="1:6" ht="15.75">
      <c r="A33" s="44" t="s">
        <v>313</v>
      </c>
      <c r="B33" s="45"/>
      <c r="E33" s="20"/>
      <c r="F33" s="21"/>
    </row>
    <row r="34" spans="1:6" ht="15.75">
      <c r="A34" s="3" t="s">
        <v>339</v>
      </c>
      <c r="B34" s="15">
        <f>VLOOKUP($A$3,Data,6,FALSE)</f>
        <v>5544827.6900000004</v>
      </c>
      <c r="E34" s="20"/>
      <c r="F34" s="21"/>
    </row>
    <row r="35" spans="1:6" ht="15.75">
      <c r="A35" s="3" t="s">
        <v>315</v>
      </c>
      <c r="B35" s="15">
        <f>VLOOKUP($A$3,Data,3,FALSE)</f>
        <v>0</v>
      </c>
      <c r="E35" s="20"/>
      <c r="F35" s="21"/>
    </row>
    <row r="36" spans="1:6" ht="15.75">
      <c r="A36" s="3" t="s">
        <v>316</v>
      </c>
      <c r="B36" s="15">
        <f>B12</f>
        <v>0</v>
      </c>
      <c r="E36" s="20"/>
      <c r="F36" s="21"/>
    </row>
    <row r="37" spans="1:6" ht="15.75">
      <c r="A37" s="3" t="s">
        <v>359</v>
      </c>
      <c r="B37" s="15">
        <f>VLOOKUP($A$3,Data,7,FALSE)</f>
        <v>834580.35</v>
      </c>
      <c r="E37" s="20"/>
      <c r="F37" s="21"/>
    </row>
    <row r="38" spans="1:6" ht="15.75">
      <c r="A38" s="3" t="s">
        <v>747</v>
      </c>
      <c r="B38" s="24">
        <f>VLOOKUP($A$3,Data,14,FALSE)</f>
        <v>0.1603</v>
      </c>
      <c r="E38" s="20"/>
      <c r="F38" s="21"/>
    </row>
    <row r="39" spans="1:6" ht="15.75">
      <c r="A39" s="3" t="s">
        <v>360</v>
      </c>
      <c r="B39" s="15">
        <f>ROUND((B36-B37)*(1+B38),2)</f>
        <v>-968363.58</v>
      </c>
      <c r="E39" s="20"/>
      <c r="F39" s="21"/>
    </row>
    <row r="40" spans="1:6" ht="15.75">
      <c r="A40" s="3" t="s">
        <v>361</v>
      </c>
      <c r="B40" s="15">
        <f>B30</f>
        <v>0</v>
      </c>
      <c r="E40" s="20"/>
      <c r="F40" s="21"/>
    </row>
    <row r="41" spans="1:6" ht="15.75">
      <c r="A41" s="3" t="s">
        <v>362</v>
      </c>
      <c r="B41" s="15">
        <f>B39-B40</f>
        <v>-968363.58</v>
      </c>
      <c r="E41" s="20"/>
      <c r="F41" s="21"/>
    </row>
    <row r="42" spans="1:6" ht="15.75">
      <c r="A42" s="3" t="s">
        <v>363</v>
      </c>
      <c r="B42" s="15">
        <f>MIN(B34,B41-B35)</f>
        <v>-968363.58</v>
      </c>
      <c r="E42" s="20"/>
      <c r="F42" s="21"/>
    </row>
    <row r="43" spans="1:6" ht="15.75">
      <c r="A43" s="20" t="s">
        <v>365</v>
      </c>
      <c r="B43" s="15"/>
      <c r="E43" s="20"/>
      <c r="F43" s="21"/>
    </row>
    <row r="44" spans="1:6" ht="15.75">
      <c r="A44" s="3" t="s">
        <v>364</v>
      </c>
      <c r="B44" s="21">
        <f>ROUND(IF((B34*0.1)&lt;(B34-B42),(B34*0.1),(B34-B42)),2)</f>
        <v>554482.77</v>
      </c>
      <c r="E44" s="20"/>
      <c r="F44" s="21"/>
    </row>
    <row r="45" spans="1:6" ht="15.75">
      <c r="A45" s="20" t="s">
        <v>366</v>
      </c>
      <c r="B45" s="21">
        <f>(B34-B42-B44)*-1</f>
        <v>-5958708.5</v>
      </c>
      <c r="E45" s="20"/>
      <c r="F45" s="21"/>
    </row>
    <row r="46" spans="1:6" ht="10.5" customHeight="1">
      <c r="A46" s="20"/>
      <c r="B46" s="21"/>
      <c r="E46" s="20"/>
      <c r="F46" s="21"/>
    </row>
    <row r="47" spans="1:6" ht="15.75">
      <c r="A47" s="44" t="s">
        <v>407</v>
      </c>
      <c r="B47" s="45"/>
      <c r="E47" s="44" t="s">
        <v>408</v>
      </c>
      <c r="F47" s="45"/>
    </row>
    <row r="48" spans="1:6" ht="15.75">
      <c r="A48" s="3" t="s">
        <v>340</v>
      </c>
      <c r="B48" s="15">
        <f>VLOOKUP($A$3,Data,28,FALSE)</f>
        <v>2539874.44</v>
      </c>
      <c r="E48" s="3" t="s">
        <v>340</v>
      </c>
      <c r="F48" s="15">
        <f>VLOOKUP($A$3,Data,27,FALSE)</f>
        <v>886519.62</v>
      </c>
    </row>
    <row r="49" spans="1:8" ht="15.75">
      <c r="A49" s="3" t="s">
        <v>825</v>
      </c>
      <c r="B49" s="15">
        <f>VLOOKUP($A$3,Data,26,FALSE)</f>
        <v>199757.83</v>
      </c>
      <c r="E49" s="3" t="s">
        <v>826</v>
      </c>
      <c r="F49" s="15">
        <f>VLOOKUP($A$3,Data,25,FALSE)</f>
        <v>67817.789999999994</v>
      </c>
    </row>
    <row r="50" spans="1:8" ht="15.75">
      <c r="A50" s="3" t="s">
        <v>316</v>
      </c>
      <c r="B50" s="15">
        <f>B13</f>
        <v>0</v>
      </c>
      <c r="E50" s="3" t="s">
        <v>316</v>
      </c>
      <c r="F50" s="15">
        <f>B14</f>
        <v>0</v>
      </c>
      <c r="G50" s="42"/>
    </row>
    <row r="51" spans="1:8" ht="15.75">
      <c r="A51" s="3" t="s">
        <v>714</v>
      </c>
      <c r="B51" s="22"/>
      <c r="E51" s="3" t="s">
        <v>715</v>
      </c>
      <c r="F51" s="15"/>
    </row>
    <row r="52" spans="1:8" ht="15.75">
      <c r="A52" s="3" t="s">
        <v>369</v>
      </c>
      <c r="B52" s="15">
        <f>ROUND(MAX(MIN((B48*0.1),(B48+B49-B50)),0),2)</f>
        <v>253987.44</v>
      </c>
      <c r="E52" s="3" t="s">
        <v>369</v>
      </c>
      <c r="F52" s="23">
        <f>ROUND(MAX(MIN((F48*0.1),(F48+F49-F50)),0),2)</f>
        <v>88651.96</v>
      </c>
    </row>
    <row r="53" spans="1:8" ht="15.75">
      <c r="A53" s="3" t="s">
        <v>716</v>
      </c>
      <c r="B53" s="15">
        <f>ROUND(MIN(((B48+B49-B50-B52)*-1),0),2)</f>
        <v>-2485644.83</v>
      </c>
      <c r="E53" s="3" t="s">
        <v>716</v>
      </c>
      <c r="F53" s="15">
        <f>ROUND(MIN(((F48+F49-F50-F52)*-1),0),2)</f>
        <v>-865685.45</v>
      </c>
    </row>
    <row r="54" spans="1:8" ht="26.25">
      <c r="A54" s="39" t="s">
        <v>765</v>
      </c>
      <c r="B54" s="26">
        <f>IF(B50=0,0,ROUND(MAX(MIN((B48*0.1),(B48+B49-B50)),0),2))</f>
        <v>0</v>
      </c>
      <c r="E54" s="39" t="s">
        <v>765</v>
      </c>
      <c r="F54" s="26">
        <f>IF(F50=0,0,ROUND(MAX(MIN((F48*0.1),(F48+F49-F50)),0),2))</f>
        <v>0</v>
      </c>
      <c r="G54" s="41"/>
      <c r="H54" s="38"/>
    </row>
    <row r="55" spans="1:8" ht="15.75">
      <c r="A55" s="3" t="s">
        <v>370</v>
      </c>
      <c r="B55" s="43">
        <f>VLOOKUP($A$3,Data,29,FALSE)</f>
        <v>267.08</v>
      </c>
      <c r="E55" s="3" t="s">
        <v>370</v>
      </c>
      <c r="F55" s="43">
        <f>VLOOKUP($A$3,Data,34,FALSE)</f>
        <v>96.7</v>
      </c>
      <c r="G55" s="51"/>
    </row>
    <row r="56" spans="1:8" ht="15.75">
      <c r="A56" s="3" t="s">
        <v>790</v>
      </c>
      <c r="B56" s="15">
        <f>VLOOKUP($A$3,Data,30,FALSE)</f>
        <v>2363029.86</v>
      </c>
      <c r="E56" s="3" t="s">
        <v>790</v>
      </c>
      <c r="F56" s="15">
        <f>VLOOKUP($A$3,Data,35,FALSE)</f>
        <v>834639.6</v>
      </c>
      <c r="G56" s="48"/>
    </row>
    <row r="57" spans="1:8" ht="15.75">
      <c r="A57" s="3" t="s">
        <v>791</v>
      </c>
      <c r="B57" s="15">
        <f>IFERROR(ROUND(B56/B55,2),0)</f>
        <v>8847.65</v>
      </c>
      <c r="E57" s="3" t="s">
        <v>791</v>
      </c>
      <c r="F57" s="15">
        <f>IFERROR(ROUND(F56/F55,2),0)</f>
        <v>8631.23</v>
      </c>
    </row>
    <row r="58" spans="1:8" ht="15.75">
      <c r="A58" s="3" t="s">
        <v>792</v>
      </c>
      <c r="B58" s="15">
        <f>IFERROR(ROUND(B48/B55,2),0)</f>
        <v>9509.7900000000009</v>
      </c>
      <c r="E58" s="3" t="s">
        <v>792</v>
      </c>
      <c r="F58" s="15">
        <f>IFERROR(ROUND(F48/F55,2),0)</f>
        <v>9167.73</v>
      </c>
      <c r="G58" s="48"/>
    </row>
    <row r="59" spans="1:8" ht="15.75">
      <c r="A59" s="3" t="s">
        <v>793</v>
      </c>
      <c r="B59" s="15">
        <f>ROUND((B58-B57)*B55,2)</f>
        <v>176844.35</v>
      </c>
      <c r="E59" s="3" t="s">
        <v>793</v>
      </c>
      <c r="F59" s="15">
        <f>ROUND((F58-F57)*F55,2)</f>
        <v>51879.55</v>
      </c>
      <c r="G59" s="15"/>
    </row>
    <row r="60" spans="1:8" ht="15.75">
      <c r="A60" s="20" t="s">
        <v>794</v>
      </c>
      <c r="B60" s="21">
        <f>MAX(B53,-B59)</f>
        <v>-176844.35</v>
      </c>
      <c r="E60" s="20" t="s">
        <v>794</v>
      </c>
      <c r="F60" s="21">
        <f>MAX(F53,-F59)</f>
        <v>-51879.55</v>
      </c>
    </row>
    <row r="61" spans="1:8" ht="10.5" customHeight="1">
      <c r="A61" s="20"/>
      <c r="B61" s="21"/>
      <c r="E61" s="20"/>
      <c r="F61" s="21"/>
    </row>
    <row r="62" spans="1:8" ht="15.75">
      <c r="A62" s="73" t="s">
        <v>314</v>
      </c>
      <c r="B62" s="74"/>
      <c r="C62" s="74"/>
      <c r="D62" s="74"/>
      <c r="E62" s="74"/>
      <c r="F62" s="75"/>
    </row>
    <row r="63" spans="1:8" ht="15.75">
      <c r="A63" s="3" t="s">
        <v>730</v>
      </c>
      <c r="B63" s="15">
        <f>VLOOKUP($A$3,Data,9,FALSE)</f>
        <v>1432066.5</v>
      </c>
      <c r="E63" s="3" t="s">
        <v>731</v>
      </c>
      <c r="F63" s="15">
        <f>VLOOKUP($A$3,Data,8,FALSE)</f>
        <v>933793.79</v>
      </c>
    </row>
    <row r="64" spans="1:8" ht="15.75">
      <c r="A64" s="3" t="s">
        <v>824</v>
      </c>
      <c r="B64" s="15">
        <f>VLOOKUP($A$3,Data,4,FALSE)</f>
        <v>149010.38</v>
      </c>
      <c r="E64" s="3" t="s">
        <v>824</v>
      </c>
      <c r="F64" s="15">
        <f>VLOOKUP($A$3,Data,5,FALSE)</f>
        <v>37377.14</v>
      </c>
    </row>
    <row r="65" spans="1:6" ht="15.75">
      <c r="A65" s="3" t="s">
        <v>732</v>
      </c>
      <c r="B65" s="15">
        <f>B15</f>
        <v>0</v>
      </c>
      <c r="E65" s="3" t="s">
        <v>733</v>
      </c>
      <c r="F65" s="15">
        <f>B16</f>
        <v>0</v>
      </c>
    </row>
    <row r="66" spans="1:6" ht="15.75">
      <c r="A66" s="3" t="s">
        <v>764</v>
      </c>
      <c r="B66" s="24">
        <f>VLOOKUP($A$3,Data,13,FALSE)</f>
        <v>2.5899999999999999E-2</v>
      </c>
      <c r="E66" s="3" t="s">
        <v>764</v>
      </c>
      <c r="F66" s="24">
        <f>VLOOKUP($A$3,Data,13,FALSE)</f>
        <v>2.5899999999999999E-2</v>
      </c>
    </row>
    <row r="67" spans="1:6" ht="15.75">
      <c r="A67" s="3" t="s">
        <v>317</v>
      </c>
      <c r="B67" s="15">
        <f>ROUND(B65*(1+B66),2)</f>
        <v>0</v>
      </c>
      <c r="E67" s="3" t="s">
        <v>317</v>
      </c>
      <c r="F67" s="15">
        <f>ROUND(F65*(1+F66),2)</f>
        <v>0</v>
      </c>
    </row>
    <row r="68" spans="1:6" ht="15.75">
      <c r="A68" s="3" t="s">
        <v>318</v>
      </c>
      <c r="B68" s="15">
        <f>MIN(B63,B67-B64)</f>
        <v>-149010.38</v>
      </c>
      <c r="E68" s="3" t="s">
        <v>318</v>
      </c>
      <c r="F68" s="15">
        <f>MIN(F63,F67-F64)</f>
        <v>-37377.14</v>
      </c>
    </row>
    <row r="69" spans="1:6" ht="15.75">
      <c r="A69" s="20" t="s">
        <v>737</v>
      </c>
      <c r="B69" s="15"/>
      <c r="E69" s="20" t="s">
        <v>739</v>
      </c>
      <c r="F69" s="15"/>
    </row>
    <row r="70" spans="1:6" ht="15.75">
      <c r="A70" s="3" t="s">
        <v>320</v>
      </c>
      <c r="B70" s="25">
        <f>ROUND(IF((B63*0.1)&lt;(B63-B68),(B63*0.1),(B63-B68)),2)</f>
        <v>143206.65</v>
      </c>
      <c r="E70" s="3" t="s">
        <v>320</v>
      </c>
      <c r="F70" s="25">
        <f>ROUND(IF((F63*0.1)&lt;(F63-F68),(F63*0.1),(F63-F68)),2)</f>
        <v>93379.38</v>
      </c>
    </row>
    <row r="71" spans="1:6" ht="15.75">
      <c r="A71" s="20" t="s">
        <v>738</v>
      </c>
      <c r="B71" s="25">
        <f>(B63-B68-B70)*-1</f>
        <v>-1437870.23</v>
      </c>
      <c r="E71" s="20" t="s">
        <v>740</v>
      </c>
      <c r="F71" s="25">
        <f>(F63-F68-F70)*-1</f>
        <v>-877791.55</v>
      </c>
    </row>
    <row r="72" spans="1:6" ht="10.5" customHeight="1">
      <c r="A72" s="20"/>
      <c r="B72" s="21"/>
      <c r="E72" s="20"/>
      <c r="F72" s="21"/>
    </row>
    <row r="73" spans="1:6" ht="15.75">
      <c r="A73" s="44" t="s">
        <v>321</v>
      </c>
      <c r="B73" s="45"/>
      <c r="E73" s="44" t="s">
        <v>322</v>
      </c>
      <c r="F73" s="45"/>
    </row>
    <row r="74" spans="1:6" ht="15.75">
      <c r="A74" s="3" t="s">
        <v>339</v>
      </c>
      <c r="B74" s="15">
        <f>VLOOKUP($A$3,Data,10,FALSE)</f>
        <v>748722</v>
      </c>
      <c r="E74" s="3" t="s">
        <v>339</v>
      </c>
      <c r="F74" s="15">
        <f>VLOOKUP($A$3,Data,11,FALSE)</f>
        <v>93607.94</v>
      </c>
    </row>
    <row r="75" spans="1:6" ht="15.75">
      <c r="A75" s="3" t="s">
        <v>323</v>
      </c>
      <c r="B75" s="15">
        <f>B17</f>
        <v>0</v>
      </c>
      <c r="E75" s="3" t="s">
        <v>323</v>
      </c>
      <c r="F75" s="15">
        <f>B18</f>
        <v>0</v>
      </c>
    </row>
    <row r="76" spans="1:6" ht="15.75">
      <c r="A76" s="3" t="s">
        <v>748</v>
      </c>
      <c r="B76" s="24">
        <f>VLOOKUP($A$3,Data,14,FALSE)</f>
        <v>0.1603</v>
      </c>
      <c r="E76" s="3" t="s">
        <v>748</v>
      </c>
      <c r="F76" s="24">
        <f>VLOOKUP($A$3,Data,14,FALSE)</f>
        <v>0.1603</v>
      </c>
    </row>
    <row r="77" spans="1:6" ht="15.75">
      <c r="A77" s="3" t="s">
        <v>324</v>
      </c>
      <c r="B77" s="15">
        <f>ROUND(B75*(1+B76),2)</f>
        <v>0</v>
      </c>
      <c r="E77" s="3" t="s">
        <v>324</v>
      </c>
      <c r="F77" s="15">
        <f>ROUND(F75*(1+F76),2)</f>
        <v>0</v>
      </c>
    </row>
    <row r="78" spans="1:6" ht="15.75">
      <c r="A78" s="3" t="s">
        <v>325</v>
      </c>
      <c r="B78" s="15">
        <f>MIN(B74,B77)</f>
        <v>0</v>
      </c>
      <c r="E78" s="3" t="s">
        <v>325</v>
      </c>
      <c r="F78" s="15">
        <f>MIN(F74,F77)</f>
        <v>0</v>
      </c>
    </row>
    <row r="79" spans="1:6" ht="15.75">
      <c r="A79" s="20" t="s">
        <v>341</v>
      </c>
      <c r="B79" s="21">
        <f>(B74-B78)*-1</f>
        <v>-748722</v>
      </c>
      <c r="E79" s="20" t="s">
        <v>341</v>
      </c>
      <c r="F79" s="21">
        <f>(F74-F78)*-1</f>
        <v>-93607.94</v>
      </c>
    </row>
    <row r="80" spans="1:6" ht="10.5" customHeight="1">
      <c r="A80" s="20"/>
      <c r="B80" s="21"/>
      <c r="E80" s="20"/>
      <c r="F80" s="21"/>
    </row>
    <row r="81" spans="1:6" ht="15.75">
      <c r="A81" s="44" t="s">
        <v>330</v>
      </c>
      <c r="B81" s="45"/>
      <c r="E81" s="44" t="str">
        <f>IF(MID(B8,3,1)="8","STATE INSTITUTIONS PROGRAM 34","STATE INSTITUTIONS PROGRAM 56")</f>
        <v>STATE INSTITUTIONS PROGRAM 56</v>
      </c>
      <c r="F81" s="45"/>
    </row>
    <row r="82" spans="1:6" ht="15.75">
      <c r="A82" s="3" t="s">
        <v>339</v>
      </c>
      <c r="B82" s="15">
        <f>VLOOKUP($A$3,Data,21,FALSE)</f>
        <v>0</v>
      </c>
      <c r="E82" s="3" t="s">
        <v>339</v>
      </c>
      <c r="F82" s="15">
        <f>VLOOKUP($A$3,Data,18,FALSE)</f>
        <v>287123.47000000003</v>
      </c>
    </row>
    <row r="83" spans="1:6" ht="15.75">
      <c r="A83" s="3" t="s">
        <v>315</v>
      </c>
      <c r="B83" s="15">
        <f>VLOOKUP($A$3,Data,22,FALSE)</f>
        <v>0</v>
      </c>
      <c r="E83" s="3" t="s">
        <v>315</v>
      </c>
      <c r="F83" s="15">
        <f>VLOOKUP($A$3,Data,19,FALSE)</f>
        <v>0</v>
      </c>
    </row>
    <row r="84" spans="1:6" ht="15.75">
      <c r="A84" s="3" t="s">
        <v>316</v>
      </c>
      <c r="B84" s="15">
        <f>B20</f>
        <v>0</v>
      </c>
      <c r="E84" s="3" t="s">
        <v>316</v>
      </c>
      <c r="F84" s="15">
        <f>B21</f>
        <v>0</v>
      </c>
    </row>
    <row r="85" spans="1:6" ht="15.75">
      <c r="A85" s="3" t="s">
        <v>327</v>
      </c>
      <c r="B85" s="15">
        <f>VLOOKUP($A$3,Data,23,FALSE)</f>
        <v>0</v>
      </c>
      <c r="E85" s="3" t="s">
        <v>327</v>
      </c>
      <c r="F85" s="15">
        <f>VLOOKUP($A$3,Data,20,FALSE)</f>
        <v>9187.9599999999991</v>
      </c>
    </row>
    <row r="86" spans="1:6" ht="15.75">
      <c r="A86" s="3" t="s">
        <v>328</v>
      </c>
      <c r="B86" s="15">
        <f>B84+B85</f>
        <v>0</v>
      </c>
      <c r="E86" s="3" t="s">
        <v>328</v>
      </c>
      <c r="F86" s="15">
        <f>F84+F85</f>
        <v>9187.9599999999991</v>
      </c>
    </row>
    <row r="87" spans="1:6" ht="15.75">
      <c r="A87" s="3" t="s">
        <v>318</v>
      </c>
      <c r="B87" s="15">
        <f>MIN(B82,B86-B83)</f>
        <v>0</v>
      </c>
      <c r="E87" s="3" t="s">
        <v>318</v>
      </c>
      <c r="F87" s="15">
        <f>MIN(F82,F86-F83)</f>
        <v>9187.9599999999991</v>
      </c>
    </row>
    <row r="88" spans="1:6" ht="15.75">
      <c r="A88" s="20" t="s">
        <v>319</v>
      </c>
      <c r="B88" s="15"/>
      <c r="E88" s="20" t="s">
        <v>319</v>
      </c>
      <c r="F88" s="15"/>
    </row>
    <row r="89" spans="1:6" ht="15.75">
      <c r="A89" s="3" t="s">
        <v>320</v>
      </c>
      <c r="B89" s="21">
        <f>ROUND(IF((B82*0.1)&lt;(B82-B87),(B82*0.1),(B82-B87)),2)</f>
        <v>0</v>
      </c>
      <c r="E89" s="3" t="s">
        <v>320</v>
      </c>
      <c r="F89" s="21">
        <f>ROUND(IF((F82*0.1)&lt;(F82-F87),(F82*0.1),(F82-F87)),2)</f>
        <v>28712.35</v>
      </c>
    </row>
    <row r="90" spans="1:6" ht="15.75">
      <c r="A90" s="20" t="s">
        <v>329</v>
      </c>
      <c r="B90" s="21">
        <f>(B82-B87-B89)*-1</f>
        <v>0</v>
      </c>
      <c r="E90" s="20" t="s">
        <v>329</v>
      </c>
      <c r="F90" s="21">
        <f>(F82-F87-F89)*-1</f>
        <v>-249223.16</v>
      </c>
    </row>
    <row r="91" spans="1:6" ht="10.5" customHeight="1">
      <c r="A91" s="20"/>
      <c r="B91" s="21"/>
      <c r="E91" s="20"/>
      <c r="F91" s="21"/>
    </row>
    <row r="92" spans="1:6" ht="15.75">
      <c r="A92" s="44" t="str">
        <f>IF(MID(B20,3,1)="8","STATE INSTITUTIONS PROGRAM 34","STATE INSTITUTIONS PROGRAM 59")</f>
        <v>STATE INSTITUTIONS PROGRAM 59</v>
      </c>
      <c r="B92" s="45"/>
      <c r="E92" s="44" t="s">
        <v>326</v>
      </c>
      <c r="F92" s="45"/>
    </row>
    <row r="93" spans="1:6" ht="15.75">
      <c r="A93" s="3" t="s">
        <v>339</v>
      </c>
      <c r="B93" s="15">
        <f>VLOOKUP($A$3,Data,15,FALSE)</f>
        <v>0</v>
      </c>
      <c r="E93" s="3" t="s">
        <v>339</v>
      </c>
      <c r="F93" s="15">
        <f>VLOOKUP($A$3,Data,12,FALSE)</f>
        <v>1670970.67</v>
      </c>
    </row>
    <row r="94" spans="1:6" ht="15.75">
      <c r="A94" s="3" t="s">
        <v>315</v>
      </c>
      <c r="B94" s="15">
        <f>VLOOKUP($A$3,Data,16,FALSE)</f>
        <v>0</v>
      </c>
      <c r="E94" s="3" t="s">
        <v>323</v>
      </c>
      <c r="F94" s="15">
        <f>B19</f>
        <v>0</v>
      </c>
    </row>
    <row r="95" spans="1:6" ht="15.75">
      <c r="A95" s="3" t="s">
        <v>316</v>
      </c>
      <c r="B95" s="15">
        <f>B22</f>
        <v>0</v>
      </c>
      <c r="E95" s="3" t="s">
        <v>787</v>
      </c>
      <c r="F95" s="24">
        <f>VLOOKUP($A$3,Data,14,FALSE)</f>
        <v>0.1603</v>
      </c>
    </row>
    <row r="96" spans="1:6" ht="15.75">
      <c r="A96" s="3" t="s">
        <v>327</v>
      </c>
      <c r="B96" s="15">
        <f>VLOOKUP($A$3,Data,17,FALSE)</f>
        <v>0</v>
      </c>
      <c r="E96" s="3" t="s">
        <v>324</v>
      </c>
      <c r="F96" s="15">
        <f>ROUND(F94*(1+F95),2)</f>
        <v>0</v>
      </c>
    </row>
    <row r="97" spans="1:7" ht="15.75">
      <c r="A97" s="3" t="s">
        <v>328</v>
      </c>
      <c r="B97" s="15">
        <f>B95+B96</f>
        <v>0</v>
      </c>
      <c r="E97" s="3" t="s">
        <v>788</v>
      </c>
      <c r="F97" s="15">
        <f>B31</f>
        <v>0</v>
      </c>
    </row>
    <row r="98" spans="1:7" ht="15.75">
      <c r="A98" s="3" t="s">
        <v>318</v>
      </c>
      <c r="B98" s="15">
        <f>MIN(B93,B97-B94)</f>
        <v>0</v>
      </c>
      <c r="E98" s="3" t="s">
        <v>789</v>
      </c>
      <c r="F98" s="15">
        <f>F96-F97</f>
        <v>0</v>
      </c>
    </row>
    <row r="99" spans="1:7" ht="15.75">
      <c r="A99" s="20" t="s">
        <v>319</v>
      </c>
      <c r="B99" s="15"/>
      <c r="E99" s="3" t="s">
        <v>795</v>
      </c>
      <c r="F99" s="15">
        <f>IF(F93&gt;F98,F98,F93)</f>
        <v>0</v>
      </c>
    </row>
    <row r="100" spans="1:7" ht="15.75">
      <c r="A100" s="3" t="s">
        <v>320</v>
      </c>
      <c r="B100" s="21">
        <f>ROUND(IF((B93*0.1)&lt;(B93-B98),(B93*0.1),(B93-B98)),2)</f>
        <v>0</v>
      </c>
      <c r="E100" s="20" t="s">
        <v>796</v>
      </c>
      <c r="F100" s="21">
        <f>(F93-F99)*-1</f>
        <v>-1670970.67</v>
      </c>
      <c r="G100" s="48"/>
    </row>
    <row r="101" spans="1:7" ht="15.75">
      <c r="A101" s="20" t="s">
        <v>329</v>
      </c>
      <c r="B101" s="21">
        <f>(B93-B98-B100)*-1</f>
        <v>0</v>
      </c>
    </row>
    <row r="102" spans="1:7" ht="15.75">
      <c r="A102" s="20"/>
      <c r="B102" s="21"/>
    </row>
    <row r="103" spans="1:7" ht="15.75">
      <c r="A103" s="17" t="s">
        <v>368</v>
      </c>
    </row>
    <row r="104" spans="1:7">
      <c r="A104" s="71" t="s">
        <v>827</v>
      </c>
    </row>
    <row r="105" spans="1:7">
      <c r="A105" s="71" t="s">
        <v>828</v>
      </c>
    </row>
  </sheetData>
  <mergeCells count="2">
    <mergeCell ref="E10:F10"/>
    <mergeCell ref="A62:F62"/>
  </mergeCells>
  <phoneticPr fontId="11" type="noConversion"/>
  <dataValidations count="1">
    <dataValidation type="list" allowBlank="1" showInputMessage="1" showErrorMessage="1" sqref="B4" xr:uid="{00000000-0002-0000-0000-000000000000}">
      <formula1>DISNAME</formula1>
    </dataValidation>
  </dataValidations>
  <hyperlinks>
    <hyperlink ref="A104" r:id="rId1" xr:uid="{A8A532AE-6765-44FF-8A21-5A510C4EEC6F}"/>
    <hyperlink ref="A105" r:id="rId2" xr:uid="{7F3CF756-77C1-45C0-88F8-2BB7EC917F60}"/>
  </hyperlinks>
  <pageMargins left="0.5" right="0.5" top="0.5" bottom="0.5" header="0.5" footer="0.5"/>
  <pageSetup scale="63" fitToHeight="3" orientation="landscape" r:id="rId3"/>
  <headerFooter alignWithMargins="0">
    <oddFooter>Page &amp;P of &amp;N</oddFooter>
  </headerFooter>
  <rowBreaks count="1" manualBreakCount="1">
    <brk id="60" max="6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O342"/>
  <sheetViews>
    <sheetView zoomScaleNormal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/>
  <cols>
    <col min="1" max="1" width="18.7109375" customWidth="1"/>
    <col min="2" max="2" width="7.7109375" customWidth="1"/>
    <col min="3" max="3" width="44" bestFit="1" customWidth="1"/>
    <col min="4" max="6" width="19.42578125" bestFit="1" customWidth="1"/>
    <col min="7" max="7" width="14.7109375" customWidth="1"/>
    <col min="8" max="8" width="13" bestFit="1" customWidth="1"/>
    <col min="9" max="9" width="12.7109375" customWidth="1"/>
    <col min="10" max="10" width="13.140625" customWidth="1"/>
    <col min="11" max="11" width="13.42578125" bestFit="1" customWidth="1"/>
    <col min="12" max="12" width="12" bestFit="1" customWidth="1"/>
    <col min="13" max="13" width="12.85546875" bestFit="1" customWidth="1"/>
    <col min="14" max="14" width="13" customWidth="1"/>
    <col min="15" max="15" width="8.42578125" customWidth="1"/>
    <col min="16" max="16" width="12" bestFit="1" customWidth="1"/>
    <col min="17" max="17" width="14" bestFit="1" customWidth="1"/>
    <col min="18" max="18" width="13.5703125" bestFit="1" customWidth="1"/>
    <col min="19" max="19" width="13.28515625" bestFit="1" customWidth="1"/>
    <col min="20" max="20" width="19.42578125" bestFit="1" customWidth="1"/>
    <col min="21" max="21" width="14" bestFit="1" customWidth="1"/>
    <col min="22" max="22" width="10.85546875" bestFit="1" customWidth="1"/>
    <col min="23" max="23" width="14" bestFit="1" customWidth="1"/>
    <col min="24" max="24" width="12" bestFit="1" customWidth="1"/>
    <col min="25" max="25" width="13.28515625" bestFit="1" customWidth="1"/>
    <col min="26" max="26" width="12.5703125" customWidth="1"/>
    <col min="27" max="27" width="12" bestFit="1" customWidth="1"/>
    <col min="28" max="28" width="13.140625" customWidth="1"/>
    <col min="29" max="29" width="13" bestFit="1" customWidth="1"/>
    <col min="30" max="30" width="10.85546875" bestFit="1" customWidth="1"/>
    <col min="31" max="31" width="15.28515625" customWidth="1"/>
    <col min="32" max="32" width="14.7109375" bestFit="1" customWidth="1"/>
    <col min="33" max="34" width="12.85546875" bestFit="1" customWidth="1"/>
    <col min="35" max="35" width="10.5703125" customWidth="1"/>
    <col min="36" max="36" width="15.140625" customWidth="1"/>
    <col min="37" max="38" width="15" bestFit="1" customWidth="1"/>
    <col min="39" max="39" width="14.5703125" bestFit="1" customWidth="1"/>
    <col min="40" max="41" width="11.28515625" bestFit="1" customWidth="1"/>
  </cols>
  <sheetData>
    <row r="1" spans="1:41">
      <c r="A1" s="28"/>
      <c r="B1" s="28">
        <v>1</v>
      </c>
      <c r="C1" s="28">
        <f>1+B1</f>
        <v>2</v>
      </c>
      <c r="D1" s="28">
        <f t="shared" ref="D1" si="0">1+C1</f>
        <v>3</v>
      </c>
      <c r="E1" s="28">
        <f t="shared" ref="E1" si="1">1+D1</f>
        <v>4</v>
      </c>
      <c r="F1" s="28">
        <f t="shared" ref="F1" si="2">1+E1</f>
        <v>5</v>
      </c>
      <c r="G1" s="28">
        <f t="shared" ref="G1" si="3">1+F1</f>
        <v>6</v>
      </c>
      <c r="H1" s="28">
        <f t="shared" ref="H1" si="4">1+G1</f>
        <v>7</v>
      </c>
      <c r="I1" s="28">
        <f t="shared" ref="I1" si="5">1+H1</f>
        <v>8</v>
      </c>
      <c r="J1" s="28">
        <f t="shared" ref="J1" si="6">1+I1</f>
        <v>9</v>
      </c>
      <c r="K1" s="28">
        <f t="shared" ref="K1" si="7">1+J1</f>
        <v>10</v>
      </c>
      <c r="L1" s="28">
        <f t="shared" ref="L1" si="8">1+K1</f>
        <v>11</v>
      </c>
      <c r="M1" s="28">
        <f t="shared" ref="M1" si="9">1+L1</f>
        <v>12</v>
      </c>
      <c r="N1" s="28">
        <f t="shared" ref="N1" si="10">1+M1</f>
        <v>13</v>
      </c>
      <c r="O1" s="28">
        <f t="shared" ref="O1" si="11">1+N1</f>
        <v>14</v>
      </c>
      <c r="P1" s="28">
        <f t="shared" ref="P1" si="12">1+O1</f>
        <v>15</v>
      </c>
      <c r="Q1" s="28">
        <f t="shared" ref="Q1" si="13">1+P1</f>
        <v>16</v>
      </c>
      <c r="R1" s="28">
        <f t="shared" ref="R1" si="14">1+Q1</f>
        <v>17</v>
      </c>
      <c r="S1" s="28">
        <f t="shared" ref="S1" si="15">1+R1</f>
        <v>18</v>
      </c>
      <c r="T1" s="28">
        <f t="shared" ref="T1" si="16">1+S1</f>
        <v>19</v>
      </c>
      <c r="U1" s="28">
        <f t="shared" ref="U1" si="17">1+T1</f>
        <v>20</v>
      </c>
      <c r="V1" s="28">
        <f t="shared" ref="V1" si="18">1+U1</f>
        <v>21</v>
      </c>
      <c r="W1" s="28">
        <f t="shared" ref="W1" si="19">1+V1</f>
        <v>22</v>
      </c>
      <c r="X1" s="28">
        <f t="shared" ref="X1" si="20">1+W1</f>
        <v>23</v>
      </c>
      <c r="Y1" s="28">
        <f t="shared" ref="Y1" si="21">1+X1</f>
        <v>24</v>
      </c>
      <c r="Z1" s="28">
        <f t="shared" ref="Z1" si="22">1+Y1</f>
        <v>25</v>
      </c>
      <c r="AA1" s="28">
        <f t="shared" ref="AA1" si="23">1+Z1</f>
        <v>26</v>
      </c>
      <c r="AB1" s="28">
        <f t="shared" ref="AB1" si="24">1+AA1</f>
        <v>27</v>
      </c>
      <c r="AC1" s="28">
        <f t="shared" ref="AC1" si="25">1+AB1</f>
        <v>28</v>
      </c>
      <c r="AD1" s="28">
        <f t="shared" ref="AD1" si="26">1+AC1</f>
        <v>29</v>
      </c>
      <c r="AE1" s="28">
        <f t="shared" ref="AE1" si="27">1+AD1</f>
        <v>30</v>
      </c>
      <c r="AF1" s="28">
        <f t="shared" ref="AF1" si="28">1+AE1</f>
        <v>31</v>
      </c>
      <c r="AG1" s="28">
        <f t="shared" ref="AG1" si="29">1+AF1</f>
        <v>32</v>
      </c>
      <c r="AH1" s="28">
        <f t="shared" ref="AH1" si="30">1+AG1</f>
        <v>33</v>
      </c>
      <c r="AI1" s="28">
        <f t="shared" ref="AI1" si="31">1+AH1</f>
        <v>34</v>
      </c>
      <c r="AJ1" s="28">
        <f t="shared" ref="AJ1" si="32">1+AI1</f>
        <v>35</v>
      </c>
      <c r="AK1" s="28">
        <f t="shared" ref="AK1" si="33">1+AJ1</f>
        <v>36</v>
      </c>
      <c r="AL1" s="28">
        <f t="shared" ref="AL1" si="34">1+AK1</f>
        <v>37</v>
      </c>
      <c r="AM1" s="28">
        <f t="shared" ref="AM1" si="35">1+AL1</f>
        <v>38</v>
      </c>
      <c r="AN1" s="28">
        <f t="shared" ref="AN1" si="36">1+AM1</f>
        <v>39</v>
      </c>
      <c r="AO1" s="28">
        <f t="shared" ref="AO1" si="37">1+AN1</f>
        <v>40</v>
      </c>
    </row>
    <row r="2" spans="1:41" s="3" customFormat="1">
      <c r="B2" s="52"/>
      <c r="C2" s="52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s="3" customFormat="1">
      <c r="D3" s="29" t="s">
        <v>404</v>
      </c>
      <c r="E3" s="30" t="s">
        <v>406</v>
      </c>
      <c r="F3" s="30" t="s">
        <v>745</v>
      </c>
      <c r="G3" s="31" t="s">
        <v>388</v>
      </c>
      <c r="I3" s="31" t="s">
        <v>726</v>
      </c>
      <c r="J3" s="31" t="s">
        <v>389</v>
      </c>
      <c r="K3" s="31" t="s">
        <v>390</v>
      </c>
      <c r="L3" s="31" t="s">
        <v>391</v>
      </c>
      <c r="M3" s="31" t="s">
        <v>785</v>
      </c>
      <c r="N3" s="30" t="s">
        <v>383</v>
      </c>
      <c r="O3" s="30" t="s">
        <v>382</v>
      </c>
      <c r="P3" s="30">
        <v>4159</v>
      </c>
      <c r="S3" s="32" t="s">
        <v>766</v>
      </c>
      <c r="V3" s="30">
        <v>4126</v>
      </c>
      <c r="Y3" s="30" t="s">
        <v>381</v>
      </c>
      <c r="Z3" s="30" t="s">
        <v>375</v>
      </c>
      <c r="AA3" s="30" t="s">
        <v>378</v>
      </c>
      <c r="AB3" s="30" t="s">
        <v>376</v>
      </c>
      <c r="AC3" s="30" t="s">
        <v>377</v>
      </c>
      <c r="AD3" s="30" t="s">
        <v>380</v>
      </c>
      <c r="AE3" s="30" t="s">
        <v>759</v>
      </c>
      <c r="AF3" s="47"/>
      <c r="AG3" s="47"/>
      <c r="AH3" s="31"/>
      <c r="AI3" s="30" t="s">
        <v>379</v>
      </c>
      <c r="AJ3" s="30" t="s">
        <v>760</v>
      </c>
      <c r="AK3" s="47"/>
      <c r="AL3" s="47"/>
      <c r="AM3" s="31"/>
      <c r="AN3" s="30" t="s">
        <v>385</v>
      </c>
      <c r="AO3" s="30" t="s">
        <v>386</v>
      </c>
    </row>
    <row r="4" spans="1:41" s="3" customFormat="1">
      <c r="A4" s="3">
        <f>COUNTA(DISNAME)</f>
        <v>331</v>
      </c>
      <c r="D4" s="31" t="s">
        <v>403</v>
      </c>
      <c r="E4" s="31" t="s">
        <v>405</v>
      </c>
      <c r="F4" s="31" t="s">
        <v>405</v>
      </c>
      <c r="G4" s="32" t="s">
        <v>392</v>
      </c>
      <c r="H4" s="30" t="s">
        <v>387</v>
      </c>
      <c r="I4" s="32" t="s">
        <v>727</v>
      </c>
      <c r="J4" s="32" t="s">
        <v>728</v>
      </c>
      <c r="K4" s="32" t="s">
        <v>393</v>
      </c>
      <c r="L4" s="32" t="s">
        <v>394</v>
      </c>
      <c r="M4" s="32" t="s">
        <v>786</v>
      </c>
      <c r="N4" s="3" t="s">
        <v>729</v>
      </c>
      <c r="O4" s="31" t="s">
        <v>6</v>
      </c>
      <c r="P4" s="31" t="s">
        <v>373</v>
      </c>
      <c r="Q4" s="31" t="s">
        <v>749</v>
      </c>
      <c r="R4" s="31" t="s">
        <v>7</v>
      </c>
      <c r="S4" s="31" t="s">
        <v>751</v>
      </c>
      <c r="T4" s="31" t="s">
        <v>749</v>
      </c>
      <c r="U4" s="31" t="s">
        <v>7</v>
      </c>
      <c r="V4" s="31" t="s">
        <v>8</v>
      </c>
      <c r="W4" s="31" t="s">
        <v>749</v>
      </c>
      <c r="X4" s="31" t="s">
        <v>7</v>
      </c>
      <c r="Y4" s="31" t="s">
        <v>9</v>
      </c>
      <c r="Z4" s="31" t="s">
        <v>401</v>
      </c>
      <c r="AA4" s="31" t="s">
        <v>397</v>
      </c>
      <c r="AB4" s="31" t="s">
        <v>398</v>
      </c>
      <c r="AC4" s="31" t="s">
        <v>396</v>
      </c>
      <c r="AD4" s="31" t="s">
        <v>399</v>
      </c>
      <c r="AE4" s="31" t="s">
        <v>753</v>
      </c>
      <c r="AF4" s="31" t="s">
        <v>755</v>
      </c>
      <c r="AG4" s="31" t="s">
        <v>757</v>
      </c>
      <c r="AH4" s="46" t="s">
        <v>400</v>
      </c>
      <c r="AI4" s="31" t="s">
        <v>401</v>
      </c>
      <c r="AJ4" s="31" t="s">
        <v>761</v>
      </c>
      <c r="AK4" s="31" t="s">
        <v>755</v>
      </c>
      <c r="AL4" s="31" t="s">
        <v>757</v>
      </c>
      <c r="AM4" s="46" t="s">
        <v>401</v>
      </c>
      <c r="AN4" s="3">
        <v>1400</v>
      </c>
      <c r="AO4" s="3">
        <v>5400</v>
      </c>
    </row>
    <row r="5" spans="1:41" s="3" customFormat="1">
      <c r="D5" s="33" t="s">
        <v>402</v>
      </c>
      <c r="E5" s="33" t="s">
        <v>744</v>
      </c>
      <c r="F5" s="33" t="s">
        <v>746</v>
      </c>
      <c r="G5" s="34" t="s">
        <v>1</v>
      </c>
      <c r="H5" s="31">
        <v>3121</v>
      </c>
      <c r="I5" s="34" t="s">
        <v>2</v>
      </c>
      <c r="J5" s="34" t="s">
        <v>2</v>
      </c>
      <c r="K5" s="34" t="s">
        <v>3</v>
      </c>
      <c r="L5" s="34" t="s">
        <v>4</v>
      </c>
      <c r="M5" s="34" t="s">
        <v>5</v>
      </c>
      <c r="N5" s="31" t="s">
        <v>384</v>
      </c>
      <c r="O5" s="31" t="s">
        <v>384</v>
      </c>
      <c r="Q5" s="31" t="s">
        <v>374</v>
      </c>
      <c r="R5" s="31" t="s">
        <v>374</v>
      </c>
      <c r="S5" s="31" t="s">
        <v>395</v>
      </c>
      <c r="T5" s="31" t="s">
        <v>750</v>
      </c>
      <c r="U5" s="31" t="s">
        <v>750</v>
      </c>
      <c r="W5" s="31" t="s">
        <v>752</v>
      </c>
      <c r="X5" s="31" t="s">
        <v>752</v>
      </c>
      <c r="Y5" s="31" t="s">
        <v>11</v>
      </c>
      <c r="Z5" s="31" t="s">
        <v>0</v>
      </c>
      <c r="AA5" s="31" t="s">
        <v>0</v>
      </c>
      <c r="AB5" s="31" t="s">
        <v>10</v>
      </c>
      <c r="AC5" s="31" t="s">
        <v>10</v>
      </c>
      <c r="AD5" s="34"/>
      <c r="AE5" s="34" t="s">
        <v>754</v>
      </c>
      <c r="AF5" s="34" t="s">
        <v>756</v>
      </c>
      <c r="AG5" s="34" t="s">
        <v>758</v>
      </c>
      <c r="AH5" s="34"/>
      <c r="AI5" s="31" t="s">
        <v>371</v>
      </c>
      <c r="AJ5" s="34" t="s">
        <v>754</v>
      </c>
      <c r="AK5" s="34" t="s">
        <v>756</v>
      </c>
      <c r="AL5" s="34" t="s">
        <v>758</v>
      </c>
      <c r="AM5" s="3" t="s">
        <v>372</v>
      </c>
    </row>
    <row r="6" spans="1:41" s="55" customFormat="1" ht="25.15" customHeight="1">
      <c r="A6" s="55" t="s">
        <v>713</v>
      </c>
      <c r="B6" s="55" t="s">
        <v>332</v>
      </c>
      <c r="C6" s="55" t="s">
        <v>331</v>
      </c>
      <c r="D6" s="56">
        <f>SUM(D7:D337)</f>
        <v>1397738.03</v>
      </c>
      <c r="E6" s="56">
        <f t="shared" ref="E6:AJ6" si="38">SUM(E7:E337)</f>
        <v>18777503.429999996</v>
      </c>
      <c r="F6" s="56">
        <f t="shared" si="38"/>
        <v>6923277.1600000011</v>
      </c>
      <c r="G6" s="56">
        <f t="shared" si="38"/>
        <v>1785001689.7900004</v>
      </c>
      <c r="H6" s="56">
        <f t="shared" si="38"/>
        <v>339043209.63000005</v>
      </c>
      <c r="I6" s="56">
        <f t="shared" si="38"/>
        <v>144789002.22000006</v>
      </c>
      <c r="J6" s="56">
        <f t="shared" si="38"/>
        <v>361378384.53999996</v>
      </c>
      <c r="K6" s="56">
        <f t="shared" si="38"/>
        <v>260945248.1400001</v>
      </c>
      <c r="L6" s="56">
        <f t="shared" si="38"/>
        <v>34250698.089999989</v>
      </c>
      <c r="M6" s="56">
        <f t="shared" si="38"/>
        <v>728055157.08000028</v>
      </c>
      <c r="N6" s="70">
        <v>3.7100000000000001E-2</v>
      </c>
      <c r="O6" s="70">
        <v>0.14399999999999999</v>
      </c>
      <c r="P6" s="56">
        <f t="shared" si="38"/>
        <v>372741.04000000004</v>
      </c>
      <c r="Q6" s="56">
        <f t="shared" si="38"/>
        <v>32367.800000000003</v>
      </c>
      <c r="R6" s="56">
        <f t="shared" si="38"/>
        <v>14787.54</v>
      </c>
      <c r="S6" s="56">
        <f t="shared" si="38"/>
        <v>12527555.26</v>
      </c>
      <c r="T6" s="56">
        <f t="shared" si="38"/>
        <v>591348.38100000005</v>
      </c>
      <c r="U6" s="56">
        <f t="shared" si="38"/>
        <v>416847.47</v>
      </c>
      <c r="V6" s="56">
        <f t="shared" si="38"/>
        <v>2991661.15</v>
      </c>
      <c r="W6" s="56">
        <f t="shared" si="38"/>
        <v>225172.87599999979</v>
      </c>
      <c r="X6" s="56">
        <f t="shared" si="38"/>
        <v>116285.41000000002</v>
      </c>
      <c r="Y6" s="56">
        <f t="shared" si="38"/>
        <v>0</v>
      </c>
      <c r="Z6" s="56">
        <f t="shared" si="38"/>
        <v>6259407.5899999989</v>
      </c>
      <c r="AA6" s="56">
        <f t="shared" si="38"/>
        <v>22872195.570000008</v>
      </c>
      <c r="AB6" s="56">
        <f t="shared" si="38"/>
        <v>126024086.74999997</v>
      </c>
      <c r="AC6" s="56">
        <f t="shared" si="38"/>
        <v>623927543.66000021</v>
      </c>
      <c r="AD6" s="56">
        <f t="shared" si="38"/>
        <v>61885</v>
      </c>
      <c r="AE6" s="56">
        <f t="shared" si="38"/>
        <v>582188354.78999996</v>
      </c>
      <c r="AF6" s="56">
        <f t="shared" si="38"/>
        <v>2271772.1477151485</v>
      </c>
      <c r="AG6" s="56">
        <f t="shared" si="38"/>
        <v>2456210.395967715</v>
      </c>
      <c r="AH6" s="56">
        <f t="shared" si="38"/>
        <v>184438.24</v>
      </c>
      <c r="AI6" s="56">
        <f t="shared" si="38"/>
        <v>12971.969999999994</v>
      </c>
      <c r="AJ6" s="56">
        <f t="shared" si="38"/>
        <v>118639117.34999993</v>
      </c>
      <c r="AK6" s="65">
        <f t="shared" ref="AK6:AM6" si="39">SUM(AK7:AK337)</f>
        <v>1829318.0278370187</v>
      </c>
      <c r="AL6" s="65">
        <f t="shared" si="39"/>
        <v>1943174.4604557871</v>
      </c>
      <c r="AM6" s="57">
        <f t="shared" si="39"/>
        <v>113856.37</v>
      </c>
      <c r="AN6" s="57">
        <f t="shared" ref="AN6" si="40">SUM(AN7:AN337)</f>
        <v>293681</v>
      </c>
      <c r="AO6" s="57">
        <f t="shared" ref="AO6" si="41">SUM(AO7:AO337)</f>
        <v>767628.17</v>
      </c>
    </row>
    <row r="7" spans="1:41" s="3" customFormat="1" ht="15">
      <c r="A7" s="58" t="s">
        <v>487</v>
      </c>
      <c r="B7" s="58" t="s">
        <v>80</v>
      </c>
      <c r="C7" s="58" t="str">
        <f t="shared" ref="C7:C33" si="42">CONCATENATE(B7," ",A7," SCHOOL DISTRICT")</f>
        <v>14005 ABERDEEN SCHOOL DISTRICT</v>
      </c>
      <c r="D7" s="36">
        <v>0</v>
      </c>
      <c r="E7" s="36">
        <v>149010.38</v>
      </c>
      <c r="F7" s="36">
        <v>37377.14</v>
      </c>
      <c r="G7" s="36">
        <v>5544827.6900000004</v>
      </c>
      <c r="H7" s="36">
        <v>834580.35</v>
      </c>
      <c r="I7" s="36">
        <v>933793.79</v>
      </c>
      <c r="J7" s="36">
        <v>1432066.5</v>
      </c>
      <c r="K7" s="36">
        <v>748722</v>
      </c>
      <c r="L7" s="36">
        <v>93607.94</v>
      </c>
      <c r="M7" s="36">
        <v>1670970.67</v>
      </c>
      <c r="N7" s="50">
        <v>2.5899999999999999E-2</v>
      </c>
      <c r="O7" s="53">
        <v>0.1603</v>
      </c>
      <c r="P7" s="36">
        <v>0</v>
      </c>
      <c r="Q7" s="66">
        <v>0</v>
      </c>
      <c r="R7" s="66">
        <v>0</v>
      </c>
      <c r="S7" s="67">
        <v>287123.47000000003</v>
      </c>
      <c r="T7" s="67">
        <v>0</v>
      </c>
      <c r="U7" s="67">
        <v>9187.9599999999991</v>
      </c>
      <c r="V7" s="36">
        <v>0</v>
      </c>
      <c r="W7" s="67">
        <v>0</v>
      </c>
      <c r="X7" s="67">
        <v>0</v>
      </c>
      <c r="Y7" s="36">
        <v>0</v>
      </c>
      <c r="Z7" s="36">
        <v>67817.789999999994</v>
      </c>
      <c r="AA7" s="36">
        <v>199757.83</v>
      </c>
      <c r="AB7" s="36">
        <v>886519.62</v>
      </c>
      <c r="AC7" s="36">
        <v>2539874.44</v>
      </c>
      <c r="AD7" s="36">
        <v>267.08</v>
      </c>
      <c r="AE7" s="36">
        <v>2363029.86</v>
      </c>
      <c r="AF7" s="68">
        <f t="shared" ref="AF7:AF70" si="43">IFERROR(AE7/AD7,0)</f>
        <v>8847.6481204133597</v>
      </c>
      <c r="AG7" s="68">
        <f t="shared" ref="AG7:AG70" si="44">IFERROR(AC7/AD7,0)</f>
        <v>9509.7889770855181</v>
      </c>
      <c r="AH7" s="69">
        <f t="shared" ref="AH7:AH70" si="45">ROUND(AG7-AF7,2)</f>
        <v>662.14</v>
      </c>
      <c r="AI7" s="36">
        <v>96.7</v>
      </c>
      <c r="AJ7" s="36">
        <v>834639.6</v>
      </c>
      <c r="AK7" s="68">
        <f t="shared" ref="AK7:AK70" si="46">IFERROR(AJ7/AI7,0)</f>
        <v>8631.226473629782</v>
      </c>
      <c r="AL7" s="68">
        <f t="shared" ref="AL7:AL70" si="47">IFERROR(AB7/AI7,0)</f>
        <v>9167.7313340227502</v>
      </c>
      <c r="AM7" s="69">
        <f t="shared" ref="AM7:AM70" si="48">ROUND(AL7-AK7,2)</f>
        <v>536.5</v>
      </c>
      <c r="AN7" s="67">
        <v>2500</v>
      </c>
      <c r="AO7" s="67">
        <v>0</v>
      </c>
    </row>
    <row r="8" spans="1:41" s="3" customFormat="1" ht="15">
      <c r="A8" s="58" t="s">
        <v>552</v>
      </c>
      <c r="B8" s="58" t="s">
        <v>145</v>
      </c>
      <c r="C8" s="58" t="str">
        <f t="shared" si="42"/>
        <v>21226 ADNA SCHOOL DISTRICT</v>
      </c>
      <c r="D8" s="36">
        <v>0</v>
      </c>
      <c r="E8" s="36">
        <v>0</v>
      </c>
      <c r="F8" s="36">
        <v>0</v>
      </c>
      <c r="G8" s="36">
        <v>806633.85</v>
      </c>
      <c r="H8" s="36">
        <v>120331.82</v>
      </c>
      <c r="I8" s="36">
        <v>0</v>
      </c>
      <c r="J8" s="36">
        <v>96742.75</v>
      </c>
      <c r="K8" s="36">
        <v>0</v>
      </c>
      <c r="L8" s="36">
        <v>19348.560000000001</v>
      </c>
      <c r="M8" s="36">
        <v>382356.71</v>
      </c>
      <c r="N8" s="50">
        <v>5.1799999999999999E-2</v>
      </c>
      <c r="O8" s="53">
        <v>0.19220000000000001</v>
      </c>
      <c r="P8" s="36">
        <v>0</v>
      </c>
      <c r="Q8" s="66">
        <v>0</v>
      </c>
      <c r="R8" s="66">
        <v>0</v>
      </c>
      <c r="S8" s="67">
        <v>0</v>
      </c>
      <c r="T8" s="67">
        <v>0</v>
      </c>
      <c r="U8" s="67">
        <v>0</v>
      </c>
      <c r="V8" s="36">
        <v>0</v>
      </c>
      <c r="W8" s="67">
        <v>0</v>
      </c>
      <c r="X8" s="67">
        <v>0</v>
      </c>
      <c r="Y8" s="36">
        <v>0</v>
      </c>
      <c r="Z8" s="36">
        <v>7747.56</v>
      </c>
      <c r="AA8" s="36">
        <v>0</v>
      </c>
      <c r="AB8" s="36">
        <v>68717.399999999994</v>
      </c>
      <c r="AC8" s="36">
        <v>459293.28</v>
      </c>
      <c r="AD8" s="36">
        <v>45.1</v>
      </c>
      <c r="AE8" s="36">
        <v>406818.26</v>
      </c>
      <c r="AF8" s="68">
        <f t="shared" si="43"/>
        <v>9020.3605321507766</v>
      </c>
      <c r="AG8" s="68">
        <f t="shared" si="44"/>
        <v>10183.886474501109</v>
      </c>
      <c r="AH8" s="69">
        <f t="shared" si="45"/>
        <v>1163.53</v>
      </c>
      <c r="AI8" s="36">
        <v>7.34</v>
      </c>
      <c r="AJ8" s="36">
        <v>64722.96</v>
      </c>
      <c r="AK8" s="68">
        <f t="shared" si="46"/>
        <v>8817.8419618528605</v>
      </c>
      <c r="AL8" s="68">
        <f t="shared" si="47"/>
        <v>9362.0435967302437</v>
      </c>
      <c r="AM8" s="69">
        <f t="shared" si="48"/>
        <v>544.20000000000005</v>
      </c>
      <c r="AN8" s="67">
        <v>0</v>
      </c>
      <c r="AO8" s="67">
        <v>0</v>
      </c>
    </row>
    <row r="9" spans="1:41" s="3" customFormat="1" ht="15">
      <c r="A9" s="58" t="s">
        <v>563</v>
      </c>
      <c r="B9" s="58" t="s">
        <v>156</v>
      </c>
      <c r="C9" s="58" t="str">
        <f t="shared" si="42"/>
        <v>22017 ALMIRA SCHOOL DISTRICT</v>
      </c>
      <c r="D9" s="36">
        <v>0</v>
      </c>
      <c r="E9" s="36">
        <v>0</v>
      </c>
      <c r="F9" s="36">
        <v>0</v>
      </c>
      <c r="G9" s="36">
        <v>143318.10999999999</v>
      </c>
      <c r="H9" s="36">
        <v>15261.64</v>
      </c>
      <c r="I9" s="36">
        <v>0</v>
      </c>
      <c r="J9" s="36">
        <v>30333.8</v>
      </c>
      <c r="K9" s="36">
        <v>0</v>
      </c>
      <c r="L9" s="36">
        <v>3065.08</v>
      </c>
      <c r="M9" s="36">
        <v>286262.46999999997</v>
      </c>
      <c r="N9" s="50">
        <v>0.26400000000000001</v>
      </c>
      <c r="O9" s="53">
        <v>0.3513</v>
      </c>
      <c r="P9" s="36">
        <v>0</v>
      </c>
      <c r="Q9" s="66">
        <v>0</v>
      </c>
      <c r="R9" s="66">
        <v>0</v>
      </c>
      <c r="S9" s="67">
        <v>0</v>
      </c>
      <c r="T9" s="67">
        <v>0</v>
      </c>
      <c r="U9" s="67">
        <v>0</v>
      </c>
      <c r="V9" s="36">
        <v>0</v>
      </c>
      <c r="W9" s="67">
        <v>0</v>
      </c>
      <c r="X9" s="67">
        <v>0</v>
      </c>
      <c r="Y9" s="36">
        <v>0</v>
      </c>
      <c r="Z9" s="36">
        <v>0</v>
      </c>
      <c r="AA9" s="36">
        <v>6025</v>
      </c>
      <c r="AB9" s="36">
        <v>0</v>
      </c>
      <c r="AC9" s="36">
        <v>49037.14</v>
      </c>
      <c r="AD9" s="36">
        <v>5.31</v>
      </c>
      <c r="AE9" s="36">
        <v>47462.38</v>
      </c>
      <c r="AF9" s="68">
        <f t="shared" si="43"/>
        <v>8938.3013182674204</v>
      </c>
      <c r="AG9" s="68">
        <f t="shared" si="44"/>
        <v>9234.8662900188338</v>
      </c>
      <c r="AH9" s="69">
        <f t="shared" si="45"/>
        <v>296.56</v>
      </c>
      <c r="AI9" s="36">
        <v>0</v>
      </c>
      <c r="AJ9" s="36">
        <v>0</v>
      </c>
      <c r="AK9" s="68">
        <f t="shared" si="46"/>
        <v>0</v>
      </c>
      <c r="AL9" s="68">
        <f t="shared" si="47"/>
        <v>0</v>
      </c>
      <c r="AM9" s="69">
        <f t="shared" si="48"/>
        <v>0</v>
      </c>
      <c r="AN9" s="67">
        <v>0</v>
      </c>
      <c r="AO9" s="67">
        <v>0</v>
      </c>
    </row>
    <row r="10" spans="1:41" s="3" customFormat="1" ht="15">
      <c r="A10" s="58" t="s">
        <v>614</v>
      </c>
      <c r="B10" s="58" t="s">
        <v>208</v>
      </c>
      <c r="C10" s="58" t="str">
        <f t="shared" si="42"/>
        <v>29103 ANACORTES SCHOOL DISTRICT</v>
      </c>
      <c r="D10" s="36">
        <v>0</v>
      </c>
      <c r="E10" s="36">
        <v>0</v>
      </c>
      <c r="F10" s="36">
        <v>522.37</v>
      </c>
      <c r="G10" s="36">
        <v>4724567.67</v>
      </c>
      <c r="H10" s="36">
        <v>777137.43</v>
      </c>
      <c r="I10" s="36">
        <v>23550.35</v>
      </c>
      <c r="J10" s="36">
        <v>608640.48</v>
      </c>
      <c r="K10" s="36">
        <v>119063</v>
      </c>
      <c r="L10" s="36">
        <v>86745.77</v>
      </c>
      <c r="M10" s="36">
        <v>1368722.51</v>
      </c>
      <c r="N10" s="50">
        <v>7.8899999999999998E-2</v>
      </c>
      <c r="O10" s="53">
        <v>0.19400000000000001</v>
      </c>
      <c r="P10" s="36">
        <v>0</v>
      </c>
      <c r="Q10" s="66">
        <v>0</v>
      </c>
      <c r="R10" s="66">
        <v>0</v>
      </c>
      <c r="S10" s="67">
        <v>0</v>
      </c>
      <c r="T10" s="67">
        <v>0</v>
      </c>
      <c r="U10" s="67">
        <v>0</v>
      </c>
      <c r="V10" s="36">
        <v>0</v>
      </c>
      <c r="W10" s="67">
        <v>0</v>
      </c>
      <c r="X10" s="67">
        <v>0</v>
      </c>
      <c r="Y10" s="36">
        <v>0</v>
      </c>
      <c r="Z10" s="36">
        <v>8306.3700000000008</v>
      </c>
      <c r="AA10" s="36">
        <v>67394.429999999993</v>
      </c>
      <c r="AB10" s="36">
        <v>267428.94</v>
      </c>
      <c r="AC10" s="36">
        <v>978895.99</v>
      </c>
      <c r="AD10" s="36">
        <v>93.86</v>
      </c>
      <c r="AE10" s="36">
        <v>915244.73</v>
      </c>
      <c r="AF10" s="68">
        <f t="shared" si="43"/>
        <v>9751.1690816109094</v>
      </c>
      <c r="AG10" s="68">
        <f t="shared" si="44"/>
        <v>10429.320157681654</v>
      </c>
      <c r="AH10" s="69">
        <f t="shared" si="45"/>
        <v>678.15</v>
      </c>
      <c r="AI10" s="36">
        <v>26.39</v>
      </c>
      <c r="AJ10" s="36">
        <v>251647.7</v>
      </c>
      <c r="AK10" s="68">
        <f t="shared" si="46"/>
        <v>9535.7218643425549</v>
      </c>
      <c r="AL10" s="68">
        <f t="shared" si="47"/>
        <v>10133.722622205381</v>
      </c>
      <c r="AM10" s="69">
        <f t="shared" si="48"/>
        <v>598</v>
      </c>
      <c r="AN10" s="67">
        <v>25000</v>
      </c>
      <c r="AO10" s="67">
        <v>0</v>
      </c>
    </row>
    <row r="11" spans="1:41" s="3" customFormat="1" ht="15">
      <c r="A11" s="58" t="s">
        <v>626</v>
      </c>
      <c r="B11" s="58" t="s">
        <v>220</v>
      </c>
      <c r="C11" s="58" t="str">
        <f t="shared" si="42"/>
        <v>31016 ARLINGTON SCHOOL DISTRICT</v>
      </c>
      <c r="D11" s="36">
        <v>0</v>
      </c>
      <c r="E11" s="36">
        <v>11974.26</v>
      </c>
      <c r="F11" s="36">
        <v>0</v>
      </c>
      <c r="G11" s="36">
        <v>10505121.67</v>
      </c>
      <c r="H11" s="36">
        <v>1965039.14</v>
      </c>
      <c r="I11" s="36">
        <v>16924.11</v>
      </c>
      <c r="J11" s="36">
        <v>1557965.42</v>
      </c>
      <c r="K11" s="36">
        <v>635815.32999999996</v>
      </c>
      <c r="L11" s="36">
        <v>186638.67</v>
      </c>
      <c r="M11" s="36">
        <v>4161583.45</v>
      </c>
      <c r="N11" s="50">
        <v>2.0199999999999999E-2</v>
      </c>
      <c r="O11" s="53">
        <v>0.1087</v>
      </c>
      <c r="P11" s="36">
        <v>0</v>
      </c>
      <c r="Q11" s="66">
        <v>0</v>
      </c>
      <c r="R11" s="66">
        <v>0</v>
      </c>
      <c r="S11" s="67">
        <v>0</v>
      </c>
      <c r="T11" s="67">
        <v>0</v>
      </c>
      <c r="U11" s="67">
        <v>0</v>
      </c>
      <c r="V11" s="36">
        <v>0</v>
      </c>
      <c r="W11" s="67">
        <v>0</v>
      </c>
      <c r="X11" s="67">
        <v>0</v>
      </c>
      <c r="Y11" s="36">
        <v>0</v>
      </c>
      <c r="Z11" s="36">
        <v>15302.81</v>
      </c>
      <c r="AA11" s="36">
        <v>228461.62</v>
      </c>
      <c r="AB11" s="36">
        <v>401204.08</v>
      </c>
      <c r="AC11" s="36">
        <v>4093479.91</v>
      </c>
      <c r="AD11" s="36">
        <v>397.58</v>
      </c>
      <c r="AE11" s="36">
        <v>3887475.48</v>
      </c>
      <c r="AF11" s="68">
        <f t="shared" si="43"/>
        <v>9777.844660194176</v>
      </c>
      <c r="AG11" s="68">
        <f t="shared" si="44"/>
        <v>10295.990517631672</v>
      </c>
      <c r="AH11" s="69">
        <f t="shared" si="45"/>
        <v>518.15</v>
      </c>
      <c r="AI11" s="36">
        <v>39.51</v>
      </c>
      <c r="AJ11" s="36">
        <v>377631.76</v>
      </c>
      <c r="AK11" s="68">
        <f t="shared" si="46"/>
        <v>9557.8780055682109</v>
      </c>
      <c r="AL11" s="68">
        <f t="shared" si="47"/>
        <v>10154.494558339662</v>
      </c>
      <c r="AM11" s="69">
        <f t="shared" si="48"/>
        <v>596.62</v>
      </c>
      <c r="AN11" s="67">
        <v>0</v>
      </c>
      <c r="AO11" s="67">
        <v>0</v>
      </c>
    </row>
    <row r="12" spans="1:41" s="3" customFormat="1" ht="15">
      <c r="A12" s="58" t="s">
        <v>425</v>
      </c>
      <c r="B12" s="58" t="s">
        <v>18</v>
      </c>
      <c r="C12" s="58" t="str">
        <f t="shared" si="42"/>
        <v>02420 ASOTIN-ANATONE SCHOOL DISTRICT</v>
      </c>
      <c r="D12" s="36">
        <v>0</v>
      </c>
      <c r="E12" s="36">
        <v>0</v>
      </c>
      <c r="F12" s="36">
        <v>0</v>
      </c>
      <c r="G12" s="36">
        <v>940250.11</v>
      </c>
      <c r="H12" s="36">
        <v>170323.12</v>
      </c>
      <c r="I12" s="36">
        <v>0</v>
      </c>
      <c r="J12" s="36">
        <v>141918.35999999999</v>
      </c>
      <c r="K12" s="36">
        <v>0</v>
      </c>
      <c r="L12" s="36">
        <v>17661.88</v>
      </c>
      <c r="M12" s="36">
        <v>381133.11</v>
      </c>
      <c r="N12" s="50">
        <v>3.7600000000000001E-2</v>
      </c>
      <c r="O12" s="53">
        <v>0.19339999999999999</v>
      </c>
      <c r="P12" s="36">
        <v>0</v>
      </c>
      <c r="Q12" s="66">
        <v>0</v>
      </c>
      <c r="R12" s="66">
        <v>0</v>
      </c>
      <c r="S12" s="67">
        <v>0</v>
      </c>
      <c r="T12" s="67">
        <v>0</v>
      </c>
      <c r="U12" s="67">
        <v>0</v>
      </c>
      <c r="V12" s="36">
        <v>0</v>
      </c>
      <c r="W12" s="67">
        <v>0</v>
      </c>
      <c r="X12" s="67">
        <v>0</v>
      </c>
      <c r="Y12" s="36">
        <v>0</v>
      </c>
      <c r="Z12" s="36">
        <v>0</v>
      </c>
      <c r="AA12" s="36">
        <v>0</v>
      </c>
      <c r="AB12" s="36">
        <v>16657.11</v>
      </c>
      <c r="AC12" s="36">
        <v>413001.99</v>
      </c>
      <c r="AD12" s="36">
        <v>44.28</v>
      </c>
      <c r="AE12" s="36">
        <v>391877.15</v>
      </c>
      <c r="AF12" s="68">
        <f t="shared" si="43"/>
        <v>8849.9808039747059</v>
      </c>
      <c r="AG12" s="68">
        <f t="shared" si="44"/>
        <v>9327.0548780487807</v>
      </c>
      <c r="AH12" s="69">
        <f t="shared" si="45"/>
        <v>477.07</v>
      </c>
      <c r="AI12" s="36">
        <v>1.8</v>
      </c>
      <c r="AJ12" s="36">
        <v>15672.02</v>
      </c>
      <c r="AK12" s="68">
        <f t="shared" si="46"/>
        <v>8706.677777777777</v>
      </c>
      <c r="AL12" s="68">
        <f t="shared" si="47"/>
        <v>9253.9500000000007</v>
      </c>
      <c r="AM12" s="69">
        <f t="shared" si="48"/>
        <v>547.27</v>
      </c>
      <c r="AN12" s="67">
        <v>0</v>
      </c>
      <c r="AO12" s="67">
        <v>0</v>
      </c>
    </row>
    <row r="13" spans="1:41" s="3" customFormat="1" ht="15">
      <c r="A13" s="58" t="s">
        <v>519</v>
      </c>
      <c r="B13" s="58" t="s">
        <v>112</v>
      </c>
      <c r="C13" s="58" t="str">
        <f t="shared" si="42"/>
        <v>17408 AUBURN SCHOOL DISTRICT</v>
      </c>
      <c r="D13" s="36">
        <v>0</v>
      </c>
      <c r="E13" s="36">
        <v>0</v>
      </c>
      <c r="F13" s="36">
        <v>0</v>
      </c>
      <c r="G13" s="36">
        <v>25157395.530000001</v>
      </c>
      <c r="H13" s="36">
        <v>4712000.8</v>
      </c>
      <c r="I13" s="36">
        <v>4299001.08</v>
      </c>
      <c r="J13" s="36">
        <v>7306142.3700000001</v>
      </c>
      <c r="K13" s="36">
        <v>9253666.8900000006</v>
      </c>
      <c r="L13" s="36">
        <v>578300.85</v>
      </c>
      <c r="M13" s="36">
        <v>11457284.99</v>
      </c>
      <c r="N13" s="50">
        <v>3.5000000000000003E-2</v>
      </c>
      <c r="O13" s="53">
        <v>0.1242</v>
      </c>
      <c r="P13" s="36">
        <v>0</v>
      </c>
      <c r="Q13" s="66">
        <v>0</v>
      </c>
      <c r="R13" s="66">
        <v>0</v>
      </c>
      <c r="S13" s="67">
        <v>0</v>
      </c>
      <c r="T13" s="67">
        <v>0</v>
      </c>
      <c r="U13" s="67">
        <v>0</v>
      </c>
      <c r="V13" s="36">
        <v>0</v>
      </c>
      <c r="W13" s="67">
        <v>0</v>
      </c>
      <c r="X13" s="67">
        <v>0</v>
      </c>
      <c r="Y13" s="36">
        <v>0</v>
      </c>
      <c r="Z13" s="36">
        <v>184486.02</v>
      </c>
      <c r="AA13" s="36">
        <v>587849.01</v>
      </c>
      <c r="AB13" s="36">
        <v>1773043.77</v>
      </c>
      <c r="AC13" s="36">
        <v>7952155.9800000004</v>
      </c>
      <c r="AD13" s="36">
        <v>745.53</v>
      </c>
      <c r="AE13" s="36">
        <v>7208063.9199999999</v>
      </c>
      <c r="AF13" s="68">
        <f t="shared" si="43"/>
        <v>9668.3754107815912</v>
      </c>
      <c r="AG13" s="68">
        <f t="shared" si="44"/>
        <v>10666.446662106153</v>
      </c>
      <c r="AH13" s="69">
        <f t="shared" si="45"/>
        <v>998.07</v>
      </c>
      <c r="AI13" s="36">
        <v>176.69</v>
      </c>
      <c r="AJ13" s="36">
        <v>1669423.33</v>
      </c>
      <c r="AK13" s="68">
        <f t="shared" si="46"/>
        <v>9448.3181277944423</v>
      </c>
      <c r="AL13" s="68">
        <f t="shared" si="47"/>
        <v>10034.771464146244</v>
      </c>
      <c r="AM13" s="69">
        <f t="shared" si="48"/>
        <v>586.45000000000005</v>
      </c>
      <c r="AN13" s="67">
        <v>0</v>
      </c>
      <c r="AO13" s="67">
        <v>0</v>
      </c>
    </row>
    <row r="14" spans="1:41" s="3" customFormat="1" ht="15">
      <c r="A14" s="58" t="s">
        <v>528</v>
      </c>
      <c r="B14" s="58" t="s">
        <v>121</v>
      </c>
      <c r="C14" s="58" t="str">
        <f t="shared" si="42"/>
        <v>18303 BAINBRIDGE SCHOOL DISTRICT</v>
      </c>
      <c r="D14" s="36">
        <v>0</v>
      </c>
      <c r="E14" s="36">
        <v>0</v>
      </c>
      <c r="F14" s="36">
        <v>0</v>
      </c>
      <c r="G14" s="36">
        <v>5583145.9500000002</v>
      </c>
      <c r="H14" s="36">
        <v>817658.42</v>
      </c>
      <c r="I14" s="36">
        <v>0</v>
      </c>
      <c r="J14" s="36">
        <v>244939.34</v>
      </c>
      <c r="K14" s="36">
        <v>77096.479999999996</v>
      </c>
      <c r="L14" s="36">
        <v>123645.48</v>
      </c>
      <c r="M14" s="36">
        <v>1730326.04</v>
      </c>
      <c r="N14" s="50">
        <v>2.52E-2</v>
      </c>
      <c r="O14" s="53">
        <v>0.17050000000000001</v>
      </c>
      <c r="P14" s="36">
        <v>0</v>
      </c>
      <c r="Q14" s="66">
        <v>0</v>
      </c>
      <c r="R14" s="66">
        <v>0</v>
      </c>
      <c r="S14" s="67">
        <v>0</v>
      </c>
      <c r="T14" s="67">
        <v>0</v>
      </c>
      <c r="U14" s="67">
        <v>0</v>
      </c>
      <c r="V14" s="36">
        <v>0</v>
      </c>
      <c r="W14" s="67">
        <v>0</v>
      </c>
      <c r="X14" s="67">
        <v>0</v>
      </c>
      <c r="Y14" s="36">
        <v>0</v>
      </c>
      <c r="Z14" s="36">
        <v>0</v>
      </c>
      <c r="AA14" s="36">
        <v>252531.18</v>
      </c>
      <c r="AB14" s="36">
        <v>612569.03</v>
      </c>
      <c r="AC14" s="36">
        <v>2907023.81</v>
      </c>
      <c r="AD14" s="36">
        <v>274.07</v>
      </c>
      <c r="AE14" s="36">
        <v>2772786.68</v>
      </c>
      <c r="AF14" s="68">
        <f t="shared" si="43"/>
        <v>10117.074761922138</v>
      </c>
      <c r="AG14" s="68">
        <f t="shared" si="44"/>
        <v>10606.866165578138</v>
      </c>
      <c r="AH14" s="69">
        <f t="shared" si="45"/>
        <v>489.79</v>
      </c>
      <c r="AI14" s="36">
        <v>58.25</v>
      </c>
      <c r="AJ14" s="36">
        <v>576374.15</v>
      </c>
      <c r="AK14" s="68">
        <f t="shared" si="46"/>
        <v>9894.8351931330471</v>
      </c>
      <c r="AL14" s="68">
        <f t="shared" si="47"/>
        <v>10516.206523605151</v>
      </c>
      <c r="AM14" s="69">
        <f t="shared" si="48"/>
        <v>621.37</v>
      </c>
      <c r="AN14" s="67">
        <v>0</v>
      </c>
      <c r="AO14" s="67">
        <v>0</v>
      </c>
    </row>
    <row r="15" spans="1:41" s="3" customFormat="1" ht="15">
      <c r="A15" s="58" t="s">
        <v>451</v>
      </c>
      <c r="B15" s="58" t="s">
        <v>44</v>
      </c>
      <c r="C15" s="58" t="str">
        <f t="shared" si="42"/>
        <v>06119 BATTLE GROUND SCHOOL DISTRICT</v>
      </c>
      <c r="D15" s="36">
        <v>0</v>
      </c>
      <c r="E15" s="36">
        <v>116888.57</v>
      </c>
      <c r="F15" s="36">
        <v>0</v>
      </c>
      <c r="G15" s="36">
        <v>20674574.5</v>
      </c>
      <c r="H15" s="36">
        <v>3500157.26</v>
      </c>
      <c r="I15" s="36">
        <v>0</v>
      </c>
      <c r="J15" s="36">
        <v>3273032.78</v>
      </c>
      <c r="K15" s="36">
        <v>2277964.92</v>
      </c>
      <c r="L15" s="36">
        <v>399954.54</v>
      </c>
      <c r="M15" s="36">
        <v>13031769.67</v>
      </c>
      <c r="N15" s="50">
        <v>3.6999999999999998E-2</v>
      </c>
      <c r="O15" s="53">
        <v>0.14960000000000001</v>
      </c>
      <c r="P15" s="36">
        <v>0</v>
      </c>
      <c r="Q15" s="66">
        <v>0</v>
      </c>
      <c r="R15" s="66">
        <v>0</v>
      </c>
      <c r="S15" s="67">
        <v>0</v>
      </c>
      <c r="T15" s="67">
        <v>0</v>
      </c>
      <c r="U15" s="67">
        <v>0</v>
      </c>
      <c r="V15" s="36">
        <v>0</v>
      </c>
      <c r="W15" s="67">
        <v>0</v>
      </c>
      <c r="X15" s="67">
        <v>0</v>
      </c>
      <c r="Y15" s="36">
        <v>0</v>
      </c>
      <c r="Z15" s="36">
        <v>41801.019999999997</v>
      </c>
      <c r="AA15" s="36">
        <v>517052.6</v>
      </c>
      <c r="AB15" s="36">
        <v>695831.38</v>
      </c>
      <c r="AC15" s="36">
        <v>9664134.9800000004</v>
      </c>
      <c r="AD15" s="36">
        <v>983.94</v>
      </c>
      <c r="AE15" s="36">
        <v>9236573.0099999998</v>
      </c>
      <c r="AF15" s="68">
        <f t="shared" si="43"/>
        <v>9387.3335874138666</v>
      </c>
      <c r="AG15" s="68">
        <f t="shared" si="44"/>
        <v>9821.87428095209</v>
      </c>
      <c r="AH15" s="69">
        <f t="shared" si="45"/>
        <v>434.54</v>
      </c>
      <c r="AI15" s="36">
        <v>71.41</v>
      </c>
      <c r="AJ15" s="36">
        <v>654790.26</v>
      </c>
      <c r="AK15" s="68">
        <f t="shared" si="46"/>
        <v>9169.4476964010646</v>
      </c>
      <c r="AL15" s="68">
        <f t="shared" si="47"/>
        <v>9744.1728049292815</v>
      </c>
      <c r="AM15" s="69">
        <f t="shared" si="48"/>
        <v>574.73</v>
      </c>
      <c r="AN15" s="67">
        <v>0</v>
      </c>
      <c r="AO15" s="67">
        <v>0</v>
      </c>
    </row>
    <row r="16" spans="1:41" s="3" customFormat="1" ht="15">
      <c r="A16" s="58" t="s">
        <v>516</v>
      </c>
      <c r="B16" s="58" t="s">
        <v>109</v>
      </c>
      <c r="C16" s="58" t="str">
        <f t="shared" si="42"/>
        <v>17405 BELLEVUE SCHOOL DISTRICT</v>
      </c>
      <c r="D16" s="36">
        <v>0</v>
      </c>
      <c r="E16" s="36">
        <v>222710.26</v>
      </c>
      <c r="F16" s="36">
        <v>0</v>
      </c>
      <c r="G16" s="36">
        <v>24875533.600000001</v>
      </c>
      <c r="H16" s="36">
        <v>3876719.99</v>
      </c>
      <c r="I16" s="36">
        <v>364718</v>
      </c>
      <c r="J16" s="36">
        <v>2994773.53</v>
      </c>
      <c r="K16" s="36">
        <v>7102126</v>
      </c>
      <c r="L16" s="36">
        <v>660818.57999999996</v>
      </c>
      <c r="M16" s="36">
        <v>6622657.0099999998</v>
      </c>
      <c r="N16" s="50">
        <v>2.5700000000000001E-2</v>
      </c>
      <c r="O16" s="53">
        <v>0.1348</v>
      </c>
      <c r="P16" s="36">
        <v>0</v>
      </c>
      <c r="Q16" s="66">
        <v>0</v>
      </c>
      <c r="R16" s="66">
        <v>0</v>
      </c>
      <c r="S16" s="67">
        <v>0</v>
      </c>
      <c r="T16" s="67">
        <v>0</v>
      </c>
      <c r="U16" s="67">
        <v>0</v>
      </c>
      <c r="V16" s="36">
        <v>0</v>
      </c>
      <c r="W16" s="67">
        <v>0</v>
      </c>
      <c r="X16" s="67">
        <v>0</v>
      </c>
      <c r="Y16" s="36">
        <v>0</v>
      </c>
      <c r="Z16" s="36">
        <v>0</v>
      </c>
      <c r="AA16" s="36">
        <v>787582.88</v>
      </c>
      <c r="AB16" s="36">
        <v>2279629.21</v>
      </c>
      <c r="AC16" s="36">
        <v>8483511.0999999996</v>
      </c>
      <c r="AD16" s="36">
        <v>754.78</v>
      </c>
      <c r="AE16" s="36">
        <v>7504115.54</v>
      </c>
      <c r="AF16" s="68">
        <f t="shared" si="43"/>
        <v>9942.122923235911</v>
      </c>
      <c r="AG16" s="68">
        <f t="shared" si="44"/>
        <v>11239.713691406767</v>
      </c>
      <c r="AH16" s="69">
        <f t="shared" si="45"/>
        <v>1297.5899999999999</v>
      </c>
      <c r="AI16" s="36">
        <v>220.81</v>
      </c>
      <c r="AJ16" s="36">
        <v>2146696.13</v>
      </c>
      <c r="AK16" s="68">
        <f t="shared" si="46"/>
        <v>9721.9153570943345</v>
      </c>
      <c r="AL16" s="68">
        <f t="shared" si="47"/>
        <v>10323.940084235315</v>
      </c>
      <c r="AM16" s="69">
        <f t="shared" si="48"/>
        <v>602.02</v>
      </c>
      <c r="AN16" s="67">
        <v>0</v>
      </c>
      <c r="AO16" s="67">
        <v>0</v>
      </c>
    </row>
    <row r="17" spans="1:41" s="3" customFormat="1" ht="15">
      <c r="A17" s="58" t="s">
        <v>675</v>
      </c>
      <c r="B17" s="58" t="s">
        <v>272</v>
      </c>
      <c r="C17" s="58" t="str">
        <f t="shared" si="42"/>
        <v>37501 BELLINGHAM SCHOOL DISTRICT</v>
      </c>
      <c r="D17" s="36">
        <v>0</v>
      </c>
      <c r="E17" s="36">
        <v>7292.87</v>
      </c>
      <c r="F17" s="36">
        <v>0</v>
      </c>
      <c r="G17" s="36">
        <v>19782354.690000001</v>
      </c>
      <c r="H17" s="36">
        <v>3185485.85</v>
      </c>
      <c r="I17" s="36">
        <v>585805.91</v>
      </c>
      <c r="J17" s="36">
        <v>3048227.24</v>
      </c>
      <c r="K17" s="36">
        <v>1661202.23</v>
      </c>
      <c r="L17" s="36">
        <v>347410.7</v>
      </c>
      <c r="M17" s="36">
        <v>5395502.8399999999</v>
      </c>
      <c r="N17" s="50">
        <v>2.6800000000000001E-2</v>
      </c>
      <c r="O17" s="53">
        <v>0.13300000000000001</v>
      </c>
      <c r="P17" s="36">
        <v>0</v>
      </c>
      <c r="Q17" s="66">
        <v>0</v>
      </c>
      <c r="R17" s="66">
        <v>0</v>
      </c>
      <c r="S17" s="67">
        <v>0</v>
      </c>
      <c r="T17" s="67">
        <v>0</v>
      </c>
      <c r="U17" s="67">
        <v>0</v>
      </c>
      <c r="V17" s="36">
        <v>0</v>
      </c>
      <c r="W17" s="67">
        <v>0</v>
      </c>
      <c r="X17" s="67">
        <v>0</v>
      </c>
      <c r="Y17" s="36">
        <v>0</v>
      </c>
      <c r="Z17" s="36">
        <v>0</v>
      </c>
      <c r="AA17" s="36">
        <v>0</v>
      </c>
      <c r="AB17" s="36">
        <v>477624</v>
      </c>
      <c r="AC17" s="36">
        <v>7699879.6299999999</v>
      </c>
      <c r="AD17" s="36">
        <v>764.84</v>
      </c>
      <c r="AE17" s="36">
        <v>7115731.0599999996</v>
      </c>
      <c r="AF17" s="68">
        <f t="shared" si="43"/>
        <v>9303.5550703415083</v>
      </c>
      <c r="AG17" s="68">
        <f t="shared" si="44"/>
        <v>10067.307711416766</v>
      </c>
      <c r="AH17" s="69">
        <f t="shared" si="45"/>
        <v>763.75</v>
      </c>
      <c r="AI17" s="36">
        <v>49.48</v>
      </c>
      <c r="AJ17" s="36">
        <v>449501.87</v>
      </c>
      <c r="AK17" s="68">
        <f t="shared" si="46"/>
        <v>9084.516370250607</v>
      </c>
      <c r="AL17" s="68">
        <f t="shared" si="47"/>
        <v>9652.8698464025874</v>
      </c>
      <c r="AM17" s="69">
        <f t="shared" si="48"/>
        <v>568.35</v>
      </c>
      <c r="AN17" s="67">
        <v>0</v>
      </c>
      <c r="AO17" s="67">
        <v>0</v>
      </c>
    </row>
    <row r="18" spans="1:41" s="3" customFormat="1" ht="15">
      <c r="A18" s="58" t="s">
        <v>420</v>
      </c>
      <c r="B18" s="58" t="s">
        <v>13</v>
      </c>
      <c r="C18" s="58" t="str">
        <f t="shared" si="42"/>
        <v>01122 BENGE SCHOOL DISTRICT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87979.61</v>
      </c>
      <c r="N18" s="50">
        <v>1.6299999999999999E-2</v>
      </c>
      <c r="O18" s="53">
        <v>0.28810000000000002</v>
      </c>
      <c r="P18" s="36">
        <v>0</v>
      </c>
      <c r="Q18" s="66">
        <v>0</v>
      </c>
      <c r="R18" s="66">
        <v>0</v>
      </c>
      <c r="S18" s="67">
        <v>0</v>
      </c>
      <c r="T18" s="67">
        <v>0</v>
      </c>
      <c r="U18" s="67">
        <v>0</v>
      </c>
      <c r="V18" s="36">
        <v>0</v>
      </c>
      <c r="W18" s="67">
        <v>0</v>
      </c>
      <c r="X18" s="67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68">
        <f t="shared" si="43"/>
        <v>0</v>
      </c>
      <c r="AG18" s="68">
        <f t="shared" si="44"/>
        <v>0</v>
      </c>
      <c r="AH18" s="69">
        <f t="shared" si="45"/>
        <v>0</v>
      </c>
      <c r="AI18" s="36">
        <v>0</v>
      </c>
      <c r="AJ18" s="36">
        <v>0</v>
      </c>
      <c r="AK18" s="68">
        <f t="shared" si="46"/>
        <v>0</v>
      </c>
      <c r="AL18" s="68">
        <f t="shared" si="47"/>
        <v>0</v>
      </c>
      <c r="AM18" s="69">
        <f t="shared" si="48"/>
        <v>0</v>
      </c>
      <c r="AN18" s="67">
        <v>0</v>
      </c>
      <c r="AO18" s="67">
        <v>0</v>
      </c>
    </row>
    <row r="19" spans="1:41" s="3" customFormat="1" ht="15">
      <c r="A19" s="58" t="s">
        <v>603</v>
      </c>
      <c r="B19" s="58" t="s">
        <v>197</v>
      </c>
      <c r="C19" s="58" t="str">
        <f t="shared" si="42"/>
        <v>27403 BETHEL SCHOOL DISTRICT</v>
      </c>
      <c r="D19" s="36">
        <v>0</v>
      </c>
      <c r="E19" s="36">
        <v>529418.28</v>
      </c>
      <c r="F19" s="36">
        <v>275269.37</v>
      </c>
      <c r="G19" s="36">
        <v>34004943.18</v>
      </c>
      <c r="H19" s="36">
        <v>7645748.8700000001</v>
      </c>
      <c r="I19" s="36">
        <v>3087828.82</v>
      </c>
      <c r="J19" s="36">
        <v>7156797.04</v>
      </c>
      <c r="K19" s="36">
        <v>2828538.83</v>
      </c>
      <c r="L19" s="36">
        <v>648262.59</v>
      </c>
      <c r="M19" s="36">
        <v>17755945.300000001</v>
      </c>
      <c r="N19" s="50">
        <v>3.7900000000000003E-2</v>
      </c>
      <c r="O19" s="53">
        <v>0.13819999999999999</v>
      </c>
      <c r="P19" s="36">
        <v>0</v>
      </c>
      <c r="Q19" s="66">
        <v>0</v>
      </c>
      <c r="R19" s="66">
        <v>0</v>
      </c>
      <c r="S19" s="67">
        <v>0</v>
      </c>
      <c r="T19" s="67">
        <v>0</v>
      </c>
      <c r="U19" s="67">
        <v>0</v>
      </c>
      <c r="V19" s="36">
        <v>0</v>
      </c>
      <c r="W19" s="67">
        <v>0</v>
      </c>
      <c r="X19" s="67">
        <v>0</v>
      </c>
      <c r="Y19" s="36">
        <v>0</v>
      </c>
      <c r="Z19" s="36">
        <v>11774.15</v>
      </c>
      <c r="AA19" s="36">
        <v>254499.51</v>
      </c>
      <c r="AB19" s="36">
        <v>2492716.2999999998</v>
      </c>
      <c r="AC19" s="36">
        <v>10393686.640000001</v>
      </c>
      <c r="AD19" s="36">
        <v>1060.05</v>
      </c>
      <c r="AE19" s="36">
        <v>9765527.5600000005</v>
      </c>
      <c r="AF19" s="68">
        <f t="shared" si="43"/>
        <v>9212.3273053157882</v>
      </c>
      <c r="AG19" s="68">
        <f t="shared" si="44"/>
        <v>9804.9022593273912</v>
      </c>
      <c r="AH19" s="69">
        <f t="shared" si="45"/>
        <v>592.57000000000005</v>
      </c>
      <c r="AI19" s="36">
        <v>260.94</v>
      </c>
      <c r="AJ19" s="36">
        <v>2346788.41</v>
      </c>
      <c r="AK19" s="68">
        <f t="shared" si="46"/>
        <v>8993.5939679619842</v>
      </c>
      <c r="AL19" s="68">
        <f t="shared" si="47"/>
        <v>9552.8332183643743</v>
      </c>
      <c r="AM19" s="69">
        <f t="shared" si="48"/>
        <v>559.24</v>
      </c>
      <c r="AN19" s="67">
        <v>0</v>
      </c>
      <c r="AO19" s="67">
        <v>0</v>
      </c>
    </row>
    <row r="20" spans="1:41" s="3" customFormat="1" ht="15">
      <c r="A20" s="58" t="s">
        <v>539</v>
      </c>
      <c r="B20" s="58" t="s">
        <v>132</v>
      </c>
      <c r="C20" s="58" t="str">
        <f t="shared" si="42"/>
        <v>20203 BICKLETON SCHOOL DISTRICT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3012.91</v>
      </c>
      <c r="M20" s="36">
        <v>224398.77</v>
      </c>
      <c r="N20" s="50">
        <v>2.4199999999999999E-2</v>
      </c>
      <c r="O20" s="53">
        <v>0.2621</v>
      </c>
      <c r="P20" s="36">
        <v>0</v>
      </c>
      <c r="Q20" s="66">
        <v>0</v>
      </c>
      <c r="R20" s="66">
        <v>0</v>
      </c>
      <c r="S20" s="67">
        <v>0</v>
      </c>
      <c r="T20" s="67">
        <v>0</v>
      </c>
      <c r="U20" s="67">
        <v>0</v>
      </c>
      <c r="V20" s="36">
        <v>0</v>
      </c>
      <c r="W20" s="67">
        <v>0</v>
      </c>
      <c r="X20" s="67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68">
        <f t="shared" si="43"/>
        <v>0</v>
      </c>
      <c r="AG20" s="68">
        <f t="shared" si="44"/>
        <v>0</v>
      </c>
      <c r="AH20" s="69">
        <f t="shared" si="45"/>
        <v>0</v>
      </c>
      <c r="AI20" s="36">
        <v>0</v>
      </c>
      <c r="AJ20" s="36">
        <v>0</v>
      </c>
      <c r="AK20" s="68">
        <f t="shared" si="46"/>
        <v>0</v>
      </c>
      <c r="AL20" s="68">
        <f t="shared" si="47"/>
        <v>0</v>
      </c>
      <c r="AM20" s="69">
        <f t="shared" si="48"/>
        <v>0</v>
      </c>
      <c r="AN20" s="67">
        <v>0</v>
      </c>
      <c r="AO20" s="67">
        <v>0</v>
      </c>
    </row>
    <row r="21" spans="1:41" s="3" customFormat="1" ht="15">
      <c r="A21" s="58" t="s">
        <v>677</v>
      </c>
      <c r="B21" s="58" t="s">
        <v>274</v>
      </c>
      <c r="C21" s="58" t="str">
        <f t="shared" si="42"/>
        <v>37503 BLAINE SCHOOL DISTRICT</v>
      </c>
      <c r="D21" s="36">
        <v>0</v>
      </c>
      <c r="E21" s="36">
        <v>72151.3</v>
      </c>
      <c r="F21" s="36">
        <v>0</v>
      </c>
      <c r="G21" s="36">
        <v>3663269.93</v>
      </c>
      <c r="H21" s="36">
        <v>558662.37</v>
      </c>
      <c r="I21" s="36">
        <v>3263.22</v>
      </c>
      <c r="J21" s="36">
        <v>698798.99</v>
      </c>
      <c r="K21" s="36">
        <v>201986.24</v>
      </c>
      <c r="L21" s="36">
        <v>66313.64</v>
      </c>
      <c r="M21" s="36">
        <v>1701886.27</v>
      </c>
      <c r="N21" s="50">
        <v>3.8800000000000001E-2</v>
      </c>
      <c r="O21" s="53">
        <v>0.1419</v>
      </c>
      <c r="P21" s="36">
        <v>0</v>
      </c>
      <c r="Q21" s="66">
        <v>0</v>
      </c>
      <c r="R21" s="66">
        <v>0</v>
      </c>
      <c r="S21" s="67">
        <v>0</v>
      </c>
      <c r="T21" s="67">
        <v>0</v>
      </c>
      <c r="U21" s="67">
        <v>0</v>
      </c>
      <c r="V21" s="36">
        <v>0</v>
      </c>
      <c r="W21" s="67">
        <v>0</v>
      </c>
      <c r="X21" s="67">
        <v>0</v>
      </c>
      <c r="Y21" s="36">
        <v>0</v>
      </c>
      <c r="Z21" s="36">
        <v>0</v>
      </c>
      <c r="AA21" s="36">
        <v>0</v>
      </c>
      <c r="AB21" s="36">
        <v>304519.65000000002</v>
      </c>
      <c r="AC21" s="36">
        <v>1077758.47</v>
      </c>
      <c r="AD21" s="36">
        <v>99.86</v>
      </c>
      <c r="AE21" s="36">
        <v>965221.69</v>
      </c>
      <c r="AF21" s="68">
        <f t="shared" si="43"/>
        <v>9665.7489485279384</v>
      </c>
      <c r="AG21" s="68">
        <f t="shared" si="44"/>
        <v>10792.694472261166</v>
      </c>
      <c r="AH21" s="69">
        <f t="shared" si="45"/>
        <v>1126.95</v>
      </c>
      <c r="AI21" s="36">
        <v>30.35</v>
      </c>
      <c r="AJ21" s="36">
        <v>286721.19</v>
      </c>
      <c r="AK21" s="68">
        <f t="shared" si="46"/>
        <v>9447.1561779242165</v>
      </c>
      <c r="AL21" s="68">
        <f t="shared" si="47"/>
        <v>10033.596375617793</v>
      </c>
      <c r="AM21" s="69">
        <f t="shared" si="48"/>
        <v>586.44000000000005</v>
      </c>
      <c r="AN21" s="67">
        <v>0</v>
      </c>
      <c r="AO21" s="67">
        <v>0</v>
      </c>
    </row>
    <row r="22" spans="1:41" s="3" customFormat="1" ht="15">
      <c r="A22" s="58" t="s">
        <v>554</v>
      </c>
      <c r="B22" s="58" t="s">
        <v>147</v>
      </c>
      <c r="C22" s="58" t="str">
        <f t="shared" si="42"/>
        <v>21234 BOISTFORT SCHOOL DISTRICT</v>
      </c>
      <c r="D22" s="36">
        <v>0</v>
      </c>
      <c r="E22" s="36">
        <v>0</v>
      </c>
      <c r="F22" s="36">
        <v>0</v>
      </c>
      <c r="G22" s="36">
        <v>403714.81</v>
      </c>
      <c r="H22" s="36">
        <v>77372.58</v>
      </c>
      <c r="I22" s="36">
        <v>0</v>
      </c>
      <c r="J22" s="36">
        <v>19843.63</v>
      </c>
      <c r="K22" s="36">
        <v>0</v>
      </c>
      <c r="L22" s="36">
        <v>9558.19</v>
      </c>
      <c r="M22" s="36">
        <v>230859.15</v>
      </c>
      <c r="N22" s="50">
        <v>7.3999999999999996E-2</v>
      </c>
      <c r="O22" s="53">
        <v>0.25519999999999998</v>
      </c>
      <c r="P22" s="36">
        <v>0</v>
      </c>
      <c r="Q22" s="66">
        <v>0</v>
      </c>
      <c r="R22" s="66">
        <v>0</v>
      </c>
      <c r="S22" s="67">
        <v>0</v>
      </c>
      <c r="T22" s="67">
        <v>0</v>
      </c>
      <c r="U22" s="67">
        <v>0</v>
      </c>
      <c r="V22" s="36">
        <v>0</v>
      </c>
      <c r="W22" s="67">
        <v>0</v>
      </c>
      <c r="X22" s="67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68">
        <f t="shared" si="43"/>
        <v>0</v>
      </c>
      <c r="AG22" s="68">
        <f t="shared" si="44"/>
        <v>0</v>
      </c>
      <c r="AH22" s="69">
        <f t="shared" si="45"/>
        <v>0</v>
      </c>
      <c r="AI22" s="36">
        <v>0</v>
      </c>
      <c r="AJ22" s="36">
        <v>0</v>
      </c>
      <c r="AK22" s="68">
        <f t="shared" si="46"/>
        <v>0</v>
      </c>
      <c r="AL22" s="68">
        <f t="shared" si="47"/>
        <v>0</v>
      </c>
      <c r="AM22" s="69">
        <f t="shared" si="48"/>
        <v>0</v>
      </c>
      <c r="AN22" s="67">
        <v>0</v>
      </c>
      <c r="AO22" s="67">
        <v>0</v>
      </c>
    </row>
    <row r="23" spans="1:41" s="3" customFormat="1" ht="15">
      <c r="A23" s="58" t="s">
        <v>527</v>
      </c>
      <c r="B23" s="58" t="s">
        <v>120</v>
      </c>
      <c r="C23" s="58" t="str">
        <f t="shared" si="42"/>
        <v>18100 BREMERTON SCHOOL DISTRICT</v>
      </c>
      <c r="D23" s="36">
        <v>0</v>
      </c>
      <c r="E23" s="36">
        <v>223766.71</v>
      </c>
      <c r="F23" s="36">
        <v>134067.94</v>
      </c>
      <c r="G23" s="36">
        <v>8844199.3399999999</v>
      </c>
      <c r="H23" s="36">
        <v>1804464.95</v>
      </c>
      <c r="I23" s="36">
        <v>1341224.97</v>
      </c>
      <c r="J23" s="36">
        <v>2182299.5699999998</v>
      </c>
      <c r="K23" s="36">
        <v>1007117.42</v>
      </c>
      <c r="L23" s="36">
        <v>154539.49</v>
      </c>
      <c r="M23" s="36">
        <v>2609187.9500000002</v>
      </c>
      <c r="N23" s="50">
        <v>5.2699999999999997E-2</v>
      </c>
      <c r="O23" s="53">
        <v>0.1573</v>
      </c>
      <c r="P23" s="36">
        <v>0</v>
      </c>
      <c r="Q23" s="66">
        <v>0</v>
      </c>
      <c r="R23" s="66">
        <v>0</v>
      </c>
      <c r="S23" s="67">
        <v>0</v>
      </c>
      <c r="T23" s="67">
        <v>0</v>
      </c>
      <c r="U23" s="67">
        <v>0</v>
      </c>
      <c r="V23" s="36">
        <v>0</v>
      </c>
      <c r="W23" s="67">
        <v>0</v>
      </c>
      <c r="X23" s="67">
        <v>0</v>
      </c>
      <c r="Y23" s="36">
        <v>0</v>
      </c>
      <c r="Z23" s="36">
        <v>7804.43</v>
      </c>
      <c r="AA23" s="36">
        <v>0</v>
      </c>
      <c r="AB23" s="36">
        <v>856662.48</v>
      </c>
      <c r="AC23" s="36">
        <v>3424524.06</v>
      </c>
      <c r="AD23" s="36">
        <v>325.10000000000002</v>
      </c>
      <c r="AE23" s="36">
        <v>3232133.03</v>
      </c>
      <c r="AF23" s="68">
        <f t="shared" si="43"/>
        <v>9941.9656413411249</v>
      </c>
      <c r="AG23" s="68">
        <f t="shared" si="44"/>
        <v>10533.755952014764</v>
      </c>
      <c r="AH23" s="69">
        <f t="shared" si="45"/>
        <v>591.79</v>
      </c>
      <c r="AI23" s="36">
        <v>83</v>
      </c>
      <c r="AJ23" s="36">
        <v>806881.82</v>
      </c>
      <c r="AK23" s="68">
        <f t="shared" si="46"/>
        <v>9721.4677108433734</v>
      </c>
      <c r="AL23" s="68">
        <f t="shared" si="47"/>
        <v>10321.234698795181</v>
      </c>
      <c r="AM23" s="69">
        <f t="shared" si="48"/>
        <v>599.77</v>
      </c>
      <c r="AN23" s="67">
        <v>0</v>
      </c>
      <c r="AO23" s="67">
        <v>0</v>
      </c>
    </row>
    <row r="24" spans="1:41" s="3" customFormat="1" ht="15">
      <c r="A24" s="58" t="s">
        <v>579</v>
      </c>
      <c r="B24" s="58" t="s">
        <v>172</v>
      </c>
      <c r="C24" s="58" t="str">
        <f t="shared" si="42"/>
        <v>24111 BREWSTER SCHOOL DISTRICT</v>
      </c>
      <c r="D24" s="36">
        <v>0</v>
      </c>
      <c r="E24" s="36">
        <v>57029.34</v>
      </c>
      <c r="F24" s="36">
        <v>28727.83</v>
      </c>
      <c r="G24" s="36">
        <v>1242046.21</v>
      </c>
      <c r="H24" s="36">
        <v>196016.2</v>
      </c>
      <c r="I24" s="36">
        <v>294018.28999999998</v>
      </c>
      <c r="J24" s="36">
        <v>617542.31999999995</v>
      </c>
      <c r="K24" s="36">
        <v>607551.92000000004</v>
      </c>
      <c r="L24" s="36">
        <v>28778.47</v>
      </c>
      <c r="M24" s="36">
        <v>272835.09000000003</v>
      </c>
      <c r="N24" s="50">
        <v>4.3299999999999998E-2</v>
      </c>
      <c r="O24" s="53">
        <v>0.15479999999999999</v>
      </c>
      <c r="P24" s="36">
        <v>0</v>
      </c>
      <c r="Q24" s="66">
        <v>0</v>
      </c>
      <c r="R24" s="66">
        <v>0</v>
      </c>
      <c r="S24" s="67">
        <v>0</v>
      </c>
      <c r="T24" s="67">
        <v>0</v>
      </c>
      <c r="U24" s="67">
        <v>0</v>
      </c>
      <c r="V24" s="36">
        <v>0</v>
      </c>
      <c r="W24" s="67">
        <v>0</v>
      </c>
      <c r="X24" s="67">
        <v>0</v>
      </c>
      <c r="Y24" s="36">
        <v>0</v>
      </c>
      <c r="Z24" s="36">
        <v>0</v>
      </c>
      <c r="AA24" s="36">
        <v>69331.039999999994</v>
      </c>
      <c r="AB24" s="36">
        <v>113471.74</v>
      </c>
      <c r="AC24" s="36">
        <v>805327.83</v>
      </c>
      <c r="AD24" s="36">
        <v>84.62</v>
      </c>
      <c r="AE24" s="36">
        <v>748681.13</v>
      </c>
      <c r="AF24" s="68">
        <f t="shared" si="43"/>
        <v>8847.5671236114395</v>
      </c>
      <c r="AG24" s="68">
        <f t="shared" si="44"/>
        <v>9516.9916095485696</v>
      </c>
      <c r="AH24" s="69">
        <f t="shared" si="45"/>
        <v>669.42</v>
      </c>
      <c r="AI24" s="36">
        <v>12.39</v>
      </c>
      <c r="AJ24" s="36">
        <v>106894.68</v>
      </c>
      <c r="AK24" s="68">
        <f t="shared" si="46"/>
        <v>8627.4963680387391</v>
      </c>
      <c r="AL24" s="68">
        <f t="shared" si="47"/>
        <v>9158.3325262308317</v>
      </c>
      <c r="AM24" s="69">
        <f t="shared" si="48"/>
        <v>530.84</v>
      </c>
      <c r="AN24" s="67">
        <v>0</v>
      </c>
      <c r="AO24" s="67">
        <v>0</v>
      </c>
    </row>
    <row r="25" spans="1:41" s="3" customFormat="1" ht="15">
      <c r="A25" s="58" t="s">
        <v>462</v>
      </c>
      <c r="B25" s="58" t="s">
        <v>55</v>
      </c>
      <c r="C25" s="58" t="str">
        <f t="shared" si="42"/>
        <v>09075 BRIDGEPORT SCHOOL DISTRICT</v>
      </c>
      <c r="D25" s="36">
        <v>0</v>
      </c>
      <c r="E25" s="36">
        <v>0</v>
      </c>
      <c r="F25" s="36">
        <v>1090.51</v>
      </c>
      <c r="G25" s="36">
        <v>906931.9</v>
      </c>
      <c r="H25" s="36">
        <v>104342.64</v>
      </c>
      <c r="I25" s="36">
        <v>228565.46</v>
      </c>
      <c r="J25" s="36">
        <v>466689.12</v>
      </c>
      <c r="K25" s="36">
        <v>638582.80000000005</v>
      </c>
      <c r="L25" s="36">
        <v>21090.36</v>
      </c>
      <c r="M25" s="36">
        <v>225502.81</v>
      </c>
      <c r="N25" s="50">
        <v>4.87E-2</v>
      </c>
      <c r="O25" s="53">
        <v>0.1696</v>
      </c>
      <c r="P25" s="36">
        <v>0</v>
      </c>
      <c r="Q25" s="66">
        <v>0</v>
      </c>
      <c r="R25" s="66">
        <v>0</v>
      </c>
      <c r="S25" s="67">
        <v>0</v>
      </c>
      <c r="T25" s="67">
        <v>0</v>
      </c>
      <c r="U25" s="67">
        <v>0</v>
      </c>
      <c r="V25" s="36">
        <v>0</v>
      </c>
      <c r="W25" s="67">
        <v>0</v>
      </c>
      <c r="X25" s="67">
        <v>0</v>
      </c>
      <c r="Y25" s="36">
        <v>0</v>
      </c>
      <c r="Z25" s="36">
        <v>9168.1299999999992</v>
      </c>
      <c r="AA25" s="36">
        <v>4817.17</v>
      </c>
      <c r="AB25" s="36">
        <v>68137.210000000006</v>
      </c>
      <c r="AC25" s="36">
        <v>252973.21</v>
      </c>
      <c r="AD25" s="36">
        <v>27.59</v>
      </c>
      <c r="AE25" s="36">
        <v>244015</v>
      </c>
      <c r="AF25" s="68">
        <f t="shared" si="43"/>
        <v>8844.3276549474449</v>
      </c>
      <c r="AG25" s="68">
        <f t="shared" si="44"/>
        <v>9169.0181225081542</v>
      </c>
      <c r="AH25" s="69">
        <f t="shared" si="45"/>
        <v>324.69</v>
      </c>
      <c r="AI25" s="36">
        <v>7.44</v>
      </c>
      <c r="AJ25" s="36">
        <v>64180.02</v>
      </c>
      <c r="AK25" s="68">
        <f t="shared" si="46"/>
        <v>8626.3467741935474</v>
      </c>
      <c r="AL25" s="68">
        <f t="shared" si="47"/>
        <v>9158.2271505376357</v>
      </c>
      <c r="AM25" s="69">
        <f t="shared" si="48"/>
        <v>531.88</v>
      </c>
      <c r="AN25" s="67">
        <v>0</v>
      </c>
      <c r="AO25" s="67">
        <v>0</v>
      </c>
    </row>
    <row r="26" spans="1:41" s="3" customFormat="1" ht="15">
      <c r="A26" s="58" t="s">
        <v>504</v>
      </c>
      <c r="B26" s="58" t="s">
        <v>97</v>
      </c>
      <c r="C26" s="58" t="str">
        <f t="shared" si="42"/>
        <v>16046 BRINNON SCHOOL DISTRICT</v>
      </c>
      <c r="D26" s="36">
        <v>0</v>
      </c>
      <c r="E26" s="36">
        <v>0</v>
      </c>
      <c r="F26" s="36">
        <v>0</v>
      </c>
      <c r="G26" s="36">
        <v>122288.44</v>
      </c>
      <c r="H26" s="36">
        <v>4680.43</v>
      </c>
      <c r="I26" s="36">
        <v>22752.66</v>
      </c>
      <c r="J26" s="36">
        <v>41349.57</v>
      </c>
      <c r="K26" s="36">
        <v>0</v>
      </c>
      <c r="L26" s="36">
        <v>2077.87</v>
      </c>
      <c r="M26" s="36">
        <v>118369.65</v>
      </c>
      <c r="N26" s="50">
        <v>7.0199999999999999E-2</v>
      </c>
      <c r="O26" s="53">
        <v>0.3846</v>
      </c>
      <c r="P26" s="36">
        <v>0</v>
      </c>
      <c r="Q26" s="66">
        <v>0</v>
      </c>
      <c r="R26" s="66">
        <v>0</v>
      </c>
      <c r="S26" s="67">
        <v>0</v>
      </c>
      <c r="T26" s="67">
        <v>0</v>
      </c>
      <c r="U26" s="67">
        <v>0</v>
      </c>
      <c r="V26" s="36">
        <v>0</v>
      </c>
      <c r="W26" s="67">
        <v>0</v>
      </c>
      <c r="X26" s="67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68">
        <f t="shared" si="43"/>
        <v>0</v>
      </c>
      <c r="AG26" s="68">
        <f t="shared" si="44"/>
        <v>0</v>
      </c>
      <c r="AH26" s="69">
        <f t="shared" si="45"/>
        <v>0</v>
      </c>
      <c r="AI26" s="36">
        <v>0</v>
      </c>
      <c r="AJ26" s="36">
        <v>0</v>
      </c>
      <c r="AK26" s="68">
        <f t="shared" si="46"/>
        <v>0</v>
      </c>
      <c r="AL26" s="68">
        <f t="shared" si="47"/>
        <v>0</v>
      </c>
      <c r="AM26" s="69">
        <f t="shared" si="48"/>
        <v>0</v>
      </c>
      <c r="AN26" s="67">
        <v>0</v>
      </c>
      <c r="AO26" s="67">
        <v>0</v>
      </c>
    </row>
    <row r="27" spans="1:41" s="3" customFormat="1" ht="15">
      <c r="A27" s="58" t="s">
        <v>612</v>
      </c>
      <c r="B27" s="58" t="s">
        <v>206</v>
      </c>
      <c r="C27" s="58" t="str">
        <f t="shared" si="42"/>
        <v>29100 BURLINGTON EDISON SCHOOL DISTRICT</v>
      </c>
      <c r="D27" s="36">
        <v>0</v>
      </c>
      <c r="E27" s="36">
        <v>120536.79</v>
      </c>
      <c r="F27" s="36">
        <v>0</v>
      </c>
      <c r="G27" s="36">
        <v>6208526.5800000001</v>
      </c>
      <c r="H27" s="36">
        <v>1020831.54</v>
      </c>
      <c r="I27" s="36">
        <v>831517.92</v>
      </c>
      <c r="J27" s="36">
        <v>1413417.94</v>
      </c>
      <c r="K27" s="36">
        <v>1390622.31</v>
      </c>
      <c r="L27" s="36">
        <v>109019.18</v>
      </c>
      <c r="M27" s="36">
        <v>2622672.9300000002</v>
      </c>
      <c r="N27" s="50">
        <v>3.5700000000000003E-2</v>
      </c>
      <c r="O27" s="53">
        <v>0.1401</v>
      </c>
      <c r="P27" s="36">
        <v>0</v>
      </c>
      <c r="Q27" s="66">
        <v>0</v>
      </c>
      <c r="R27" s="66">
        <v>0</v>
      </c>
      <c r="S27" s="67">
        <v>0</v>
      </c>
      <c r="T27" s="67">
        <v>0</v>
      </c>
      <c r="U27" s="67">
        <v>0</v>
      </c>
      <c r="V27" s="36">
        <v>0</v>
      </c>
      <c r="W27" s="67">
        <v>0</v>
      </c>
      <c r="X27" s="67">
        <v>0</v>
      </c>
      <c r="Y27" s="36">
        <v>0</v>
      </c>
      <c r="Z27" s="36">
        <v>70183.16</v>
      </c>
      <c r="AA27" s="36">
        <v>53127.14</v>
      </c>
      <c r="AB27" s="36">
        <v>750469.65</v>
      </c>
      <c r="AC27" s="36">
        <v>3178887.05</v>
      </c>
      <c r="AD27" s="36">
        <v>312.08999999999997</v>
      </c>
      <c r="AE27" s="36">
        <v>3017345.17</v>
      </c>
      <c r="AF27" s="68">
        <f t="shared" si="43"/>
        <v>9668.1892082412123</v>
      </c>
      <c r="AG27" s="68">
        <f t="shared" si="44"/>
        <v>10185.802332660451</v>
      </c>
      <c r="AH27" s="69">
        <f t="shared" si="45"/>
        <v>517.61</v>
      </c>
      <c r="AI27" s="36">
        <v>74.790000000000006</v>
      </c>
      <c r="AJ27" s="36">
        <v>706667</v>
      </c>
      <c r="AK27" s="68">
        <f t="shared" si="46"/>
        <v>9448.6829790078882</v>
      </c>
      <c r="AL27" s="68">
        <f t="shared" si="47"/>
        <v>10034.358202968311</v>
      </c>
      <c r="AM27" s="69">
        <f t="shared" si="48"/>
        <v>585.67999999999995</v>
      </c>
      <c r="AN27" s="67">
        <v>0</v>
      </c>
      <c r="AO27" s="67">
        <v>0</v>
      </c>
    </row>
    <row r="28" spans="1:41" s="3" customFormat="1" ht="15">
      <c r="A28" s="58" t="s">
        <v>450</v>
      </c>
      <c r="B28" s="58" t="s">
        <v>43</v>
      </c>
      <c r="C28" s="58" t="str">
        <f t="shared" si="42"/>
        <v>06117 CAMAS SCHOOL DISTRICT</v>
      </c>
      <c r="D28" s="36">
        <v>0</v>
      </c>
      <c r="E28" s="36">
        <v>5778.66</v>
      </c>
      <c r="F28" s="36">
        <v>0</v>
      </c>
      <c r="G28" s="36">
        <v>10339960.74</v>
      </c>
      <c r="H28" s="36">
        <v>1545500.49</v>
      </c>
      <c r="I28" s="36">
        <v>0</v>
      </c>
      <c r="J28" s="36">
        <v>835191.03</v>
      </c>
      <c r="K28" s="36">
        <v>497160.27</v>
      </c>
      <c r="L28" s="36">
        <v>231156.85</v>
      </c>
      <c r="M28" s="36">
        <v>4617687.84</v>
      </c>
      <c r="N28" s="50">
        <v>3.6799999999999999E-2</v>
      </c>
      <c r="O28" s="53">
        <v>0.1447</v>
      </c>
      <c r="P28" s="36">
        <v>0</v>
      </c>
      <c r="Q28" s="66">
        <v>0</v>
      </c>
      <c r="R28" s="66">
        <v>0</v>
      </c>
      <c r="S28" s="67">
        <v>0</v>
      </c>
      <c r="T28" s="67">
        <v>0</v>
      </c>
      <c r="U28" s="67">
        <v>0</v>
      </c>
      <c r="V28" s="36">
        <v>0</v>
      </c>
      <c r="W28" s="67">
        <v>0</v>
      </c>
      <c r="X28" s="67">
        <v>0</v>
      </c>
      <c r="Y28" s="36">
        <v>0</v>
      </c>
      <c r="Z28" s="36">
        <v>0</v>
      </c>
      <c r="AA28" s="36">
        <v>168523.44</v>
      </c>
      <c r="AB28" s="36">
        <v>305049.23</v>
      </c>
      <c r="AC28" s="36">
        <v>4009714.21</v>
      </c>
      <c r="AD28" s="36">
        <v>407.05</v>
      </c>
      <c r="AE28" s="36">
        <v>3831516.08</v>
      </c>
      <c r="AF28" s="68">
        <f t="shared" si="43"/>
        <v>9412.8880481513334</v>
      </c>
      <c r="AG28" s="68">
        <f t="shared" si="44"/>
        <v>9850.6675101338897</v>
      </c>
      <c r="AH28" s="69">
        <f t="shared" si="45"/>
        <v>437.78</v>
      </c>
      <c r="AI28" s="36">
        <v>31.24</v>
      </c>
      <c r="AJ28" s="36">
        <v>287171.42</v>
      </c>
      <c r="AK28" s="68">
        <f t="shared" si="46"/>
        <v>9192.4270166453261</v>
      </c>
      <c r="AL28" s="68">
        <f t="shared" si="47"/>
        <v>9764.700064020486</v>
      </c>
      <c r="AM28" s="69">
        <f t="shared" si="48"/>
        <v>572.27</v>
      </c>
      <c r="AN28" s="67">
        <v>0</v>
      </c>
      <c r="AO28" s="67">
        <v>0</v>
      </c>
    </row>
    <row r="29" spans="1:41" s="3" customFormat="1" ht="15">
      <c r="A29" s="58" t="s">
        <v>442</v>
      </c>
      <c r="B29" s="58" t="s">
        <v>35</v>
      </c>
      <c r="C29" s="58" t="str">
        <f t="shared" si="42"/>
        <v>05401 CAPE FLATTERY SCHOOL DISTRICT</v>
      </c>
      <c r="D29" s="36">
        <v>0</v>
      </c>
      <c r="E29" s="36">
        <v>4102.92</v>
      </c>
      <c r="F29" s="36">
        <v>0</v>
      </c>
      <c r="G29" s="36">
        <v>817837.1</v>
      </c>
      <c r="H29" s="36">
        <v>130626.51</v>
      </c>
      <c r="I29" s="36">
        <v>146593.56</v>
      </c>
      <c r="J29" s="36">
        <v>259733.48</v>
      </c>
      <c r="K29" s="36">
        <v>0</v>
      </c>
      <c r="L29" s="36">
        <v>0</v>
      </c>
      <c r="M29" s="36">
        <v>371514.1</v>
      </c>
      <c r="N29" s="50">
        <v>3.0099999999999998E-2</v>
      </c>
      <c r="O29" s="53">
        <v>0.2253</v>
      </c>
      <c r="P29" s="36">
        <v>0</v>
      </c>
      <c r="Q29" s="66">
        <v>0</v>
      </c>
      <c r="R29" s="66">
        <v>0</v>
      </c>
      <c r="S29" s="67">
        <v>0</v>
      </c>
      <c r="T29" s="67">
        <v>0</v>
      </c>
      <c r="U29" s="67">
        <v>0</v>
      </c>
      <c r="V29" s="36">
        <v>0</v>
      </c>
      <c r="W29" s="67">
        <v>0</v>
      </c>
      <c r="X29" s="67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120623.64</v>
      </c>
      <c r="AD29" s="36">
        <v>11.72</v>
      </c>
      <c r="AE29" s="36">
        <v>103684.08</v>
      </c>
      <c r="AF29" s="68">
        <f t="shared" si="43"/>
        <v>8846.764505119454</v>
      </c>
      <c r="AG29" s="68">
        <f t="shared" si="44"/>
        <v>10292.119453924914</v>
      </c>
      <c r="AH29" s="69">
        <f t="shared" si="45"/>
        <v>1445.35</v>
      </c>
      <c r="AI29" s="36">
        <v>0</v>
      </c>
      <c r="AJ29" s="36">
        <v>0</v>
      </c>
      <c r="AK29" s="68">
        <f t="shared" si="46"/>
        <v>0</v>
      </c>
      <c r="AL29" s="68">
        <f t="shared" si="47"/>
        <v>0</v>
      </c>
      <c r="AM29" s="69">
        <f t="shared" si="48"/>
        <v>0</v>
      </c>
      <c r="AN29" s="67">
        <v>1500</v>
      </c>
      <c r="AO29" s="67">
        <v>0</v>
      </c>
    </row>
    <row r="30" spans="1:41" s="3" customFormat="1" ht="15">
      <c r="A30" s="58" t="s">
        <v>595</v>
      </c>
      <c r="B30" s="58" t="s">
        <v>189</v>
      </c>
      <c r="C30" s="58" t="str">
        <f t="shared" si="42"/>
        <v>27019 CARBONADO SCHOOL DISTRICT</v>
      </c>
      <c r="D30" s="36">
        <v>0</v>
      </c>
      <c r="E30" s="36">
        <v>0</v>
      </c>
      <c r="F30" s="36">
        <v>0</v>
      </c>
      <c r="G30" s="36">
        <v>339473.78</v>
      </c>
      <c r="H30" s="36">
        <v>21700.86</v>
      </c>
      <c r="I30" s="36">
        <v>0</v>
      </c>
      <c r="J30" s="36">
        <v>37002.43</v>
      </c>
      <c r="K30" s="36">
        <v>0</v>
      </c>
      <c r="L30" s="36">
        <v>5555.93</v>
      </c>
      <c r="M30" s="36">
        <v>112500.94</v>
      </c>
      <c r="N30" s="50">
        <v>5.11E-2</v>
      </c>
      <c r="O30" s="53">
        <v>0.40329999999999999</v>
      </c>
      <c r="P30" s="36">
        <v>0</v>
      </c>
      <c r="Q30" s="66">
        <v>0</v>
      </c>
      <c r="R30" s="66">
        <v>0</v>
      </c>
      <c r="S30" s="67">
        <v>0</v>
      </c>
      <c r="T30" s="67">
        <v>0</v>
      </c>
      <c r="U30" s="67">
        <v>0</v>
      </c>
      <c r="V30" s="36">
        <v>0</v>
      </c>
      <c r="W30" s="67">
        <v>0</v>
      </c>
      <c r="X30" s="67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68">
        <f t="shared" si="43"/>
        <v>0</v>
      </c>
      <c r="AG30" s="68">
        <f t="shared" si="44"/>
        <v>0</v>
      </c>
      <c r="AH30" s="69">
        <f t="shared" si="45"/>
        <v>0</v>
      </c>
      <c r="AI30" s="36">
        <v>0</v>
      </c>
      <c r="AJ30" s="36">
        <v>0</v>
      </c>
      <c r="AK30" s="68">
        <f t="shared" si="46"/>
        <v>0</v>
      </c>
      <c r="AL30" s="68">
        <f t="shared" si="47"/>
        <v>0</v>
      </c>
      <c r="AM30" s="69">
        <f t="shared" si="48"/>
        <v>0</v>
      </c>
      <c r="AN30" s="67">
        <v>0</v>
      </c>
      <c r="AO30" s="67">
        <v>0</v>
      </c>
    </row>
    <row r="31" spans="1:41" s="3" customFormat="1" ht="15">
      <c r="A31" s="58" t="s">
        <v>437</v>
      </c>
      <c r="B31" s="58" t="s">
        <v>30</v>
      </c>
      <c r="C31" s="58" t="str">
        <f t="shared" si="42"/>
        <v>04228 CASCADE SCHOOL DISTRICT</v>
      </c>
      <c r="D31" s="36">
        <v>0</v>
      </c>
      <c r="E31" s="36">
        <v>0</v>
      </c>
      <c r="F31" s="36">
        <v>0</v>
      </c>
      <c r="G31" s="36">
        <v>1479567.66</v>
      </c>
      <c r="H31" s="36">
        <v>222526.37</v>
      </c>
      <c r="I31" s="36">
        <v>2805.12</v>
      </c>
      <c r="J31" s="36">
        <v>342017.04</v>
      </c>
      <c r="K31" s="36">
        <v>220788.79</v>
      </c>
      <c r="L31" s="36">
        <v>36154.9</v>
      </c>
      <c r="M31" s="36">
        <v>1076257.51</v>
      </c>
      <c r="N31" s="50">
        <v>2.8799999999999999E-2</v>
      </c>
      <c r="O31" s="53">
        <v>0.14610000000000001</v>
      </c>
      <c r="P31" s="36">
        <v>0</v>
      </c>
      <c r="Q31" s="66">
        <v>0</v>
      </c>
      <c r="R31" s="66">
        <v>0</v>
      </c>
      <c r="S31" s="67">
        <v>0</v>
      </c>
      <c r="T31" s="67">
        <v>0</v>
      </c>
      <c r="U31" s="67">
        <v>0</v>
      </c>
      <c r="V31" s="36">
        <v>0</v>
      </c>
      <c r="W31" s="67">
        <v>0</v>
      </c>
      <c r="X31" s="67">
        <v>0</v>
      </c>
      <c r="Y31" s="36">
        <v>0</v>
      </c>
      <c r="Z31" s="36">
        <v>1645.57</v>
      </c>
      <c r="AA31" s="36">
        <v>34300.78</v>
      </c>
      <c r="AB31" s="36">
        <v>373599.71</v>
      </c>
      <c r="AC31" s="36">
        <v>1110225.8500000001</v>
      </c>
      <c r="AD31" s="36">
        <v>118.73</v>
      </c>
      <c r="AE31" s="36">
        <v>1050511.18</v>
      </c>
      <c r="AF31" s="68">
        <f t="shared" si="43"/>
        <v>8847.9001094921241</v>
      </c>
      <c r="AG31" s="68">
        <f t="shared" si="44"/>
        <v>9350.8451949802075</v>
      </c>
      <c r="AH31" s="69">
        <f t="shared" si="45"/>
        <v>502.95</v>
      </c>
      <c r="AI31" s="36">
        <v>40.74</v>
      </c>
      <c r="AJ31" s="36">
        <v>351751.99</v>
      </c>
      <c r="AK31" s="68">
        <f t="shared" si="46"/>
        <v>8634.0694648993613</v>
      </c>
      <c r="AL31" s="68">
        <f t="shared" si="47"/>
        <v>9170.3414334806093</v>
      </c>
      <c r="AM31" s="69">
        <f t="shared" si="48"/>
        <v>536.27</v>
      </c>
      <c r="AN31" s="67">
        <v>0</v>
      </c>
      <c r="AO31" s="67">
        <v>0</v>
      </c>
    </row>
    <row r="32" spans="1:41" s="3" customFormat="1" ht="15">
      <c r="A32" s="58" t="s">
        <v>436</v>
      </c>
      <c r="B32" s="58" t="s">
        <v>29</v>
      </c>
      <c r="C32" s="58" t="str">
        <f t="shared" si="42"/>
        <v>04222 CASHMERE SCHOOL DISTRICT</v>
      </c>
      <c r="D32" s="36">
        <v>0</v>
      </c>
      <c r="E32" s="36">
        <v>43049.31</v>
      </c>
      <c r="F32" s="36">
        <v>0</v>
      </c>
      <c r="G32" s="36">
        <v>2073536.82</v>
      </c>
      <c r="H32" s="36">
        <v>222147.57</v>
      </c>
      <c r="I32" s="36">
        <v>0</v>
      </c>
      <c r="J32" s="36">
        <v>487905.96</v>
      </c>
      <c r="K32" s="36">
        <v>302680.65999999997</v>
      </c>
      <c r="L32" s="36">
        <v>49553.79</v>
      </c>
      <c r="M32" s="36">
        <v>583699.22</v>
      </c>
      <c r="N32" s="50">
        <v>2.81E-2</v>
      </c>
      <c r="O32" s="53">
        <v>0.14949999999999999</v>
      </c>
      <c r="P32" s="36">
        <v>0</v>
      </c>
      <c r="Q32" s="66">
        <v>0</v>
      </c>
      <c r="R32" s="66">
        <v>0</v>
      </c>
      <c r="S32" s="67">
        <v>0</v>
      </c>
      <c r="T32" s="67">
        <v>0</v>
      </c>
      <c r="U32" s="67">
        <v>0</v>
      </c>
      <c r="V32" s="36">
        <v>0</v>
      </c>
      <c r="W32" s="67">
        <v>0</v>
      </c>
      <c r="X32" s="67">
        <v>0</v>
      </c>
      <c r="Y32" s="36">
        <v>0</v>
      </c>
      <c r="Z32" s="36">
        <v>0</v>
      </c>
      <c r="AA32" s="36">
        <v>82151.039999999994</v>
      </c>
      <c r="AB32" s="36">
        <v>446940.66</v>
      </c>
      <c r="AC32" s="36">
        <v>1291950.75</v>
      </c>
      <c r="AD32" s="36">
        <v>135.47999999999999</v>
      </c>
      <c r="AE32" s="36">
        <v>1222279.4099999999</v>
      </c>
      <c r="AF32" s="68">
        <f t="shared" si="43"/>
        <v>9021.843888396812</v>
      </c>
      <c r="AG32" s="68">
        <f t="shared" si="44"/>
        <v>9536.099424269265</v>
      </c>
      <c r="AH32" s="69">
        <f t="shared" si="45"/>
        <v>514.26</v>
      </c>
      <c r="AI32" s="36">
        <v>47.76</v>
      </c>
      <c r="AJ32" s="36">
        <v>420653.44</v>
      </c>
      <c r="AK32" s="68">
        <f t="shared" si="46"/>
        <v>8807.651591289783</v>
      </c>
      <c r="AL32" s="68">
        <f t="shared" si="47"/>
        <v>9358.0540201005024</v>
      </c>
      <c r="AM32" s="69">
        <f t="shared" si="48"/>
        <v>550.4</v>
      </c>
      <c r="AN32" s="67">
        <v>0</v>
      </c>
      <c r="AO32" s="67">
        <v>0</v>
      </c>
    </row>
    <row r="33" spans="1:41" s="3" customFormat="1" ht="15">
      <c r="A33" s="58" t="s">
        <v>457</v>
      </c>
      <c r="B33" s="58" t="s">
        <v>50</v>
      </c>
      <c r="C33" s="58" t="str">
        <f t="shared" si="42"/>
        <v>08401 CASTLE ROCK SCHOOL DISTRICT</v>
      </c>
      <c r="D33" s="36">
        <v>0</v>
      </c>
      <c r="E33" s="36">
        <v>17400.63</v>
      </c>
      <c r="F33" s="36">
        <v>3481.93</v>
      </c>
      <c r="G33" s="36">
        <v>2435834.6800000002</v>
      </c>
      <c r="H33" s="36">
        <v>323979.7</v>
      </c>
      <c r="I33" s="36">
        <v>199786.99</v>
      </c>
      <c r="J33" s="36">
        <v>511259.37</v>
      </c>
      <c r="K33" s="36">
        <v>49200.29</v>
      </c>
      <c r="L33" s="36">
        <v>41869.040000000001</v>
      </c>
      <c r="M33" s="36">
        <v>1038171.98</v>
      </c>
      <c r="N33" s="50">
        <v>5.91E-2</v>
      </c>
      <c r="O33" s="53">
        <v>0.1988</v>
      </c>
      <c r="P33" s="36">
        <v>0</v>
      </c>
      <c r="Q33" s="66">
        <v>0</v>
      </c>
      <c r="R33" s="66">
        <v>0</v>
      </c>
      <c r="S33" s="67">
        <v>0</v>
      </c>
      <c r="T33" s="67">
        <v>0</v>
      </c>
      <c r="U33" s="67">
        <v>0</v>
      </c>
      <c r="V33" s="36">
        <v>0</v>
      </c>
      <c r="W33" s="67">
        <v>0</v>
      </c>
      <c r="X33" s="67">
        <v>0</v>
      </c>
      <c r="Y33" s="36">
        <v>0</v>
      </c>
      <c r="Z33" s="36">
        <v>13448.92</v>
      </c>
      <c r="AA33" s="36">
        <v>0</v>
      </c>
      <c r="AB33" s="36">
        <v>121965.3</v>
      </c>
      <c r="AC33" s="36">
        <v>897414.95</v>
      </c>
      <c r="AD33" s="36">
        <v>95.89</v>
      </c>
      <c r="AE33" s="36">
        <v>848374.99</v>
      </c>
      <c r="AF33" s="68">
        <f t="shared" si="43"/>
        <v>8847.3770987589942</v>
      </c>
      <c r="AG33" s="68">
        <f t="shared" si="44"/>
        <v>9358.7960162686413</v>
      </c>
      <c r="AH33" s="69">
        <f t="shared" si="45"/>
        <v>511.42</v>
      </c>
      <c r="AI33" s="36">
        <v>13.3</v>
      </c>
      <c r="AJ33" s="36">
        <v>114797.68</v>
      </c>
      <c r="AK33" s="68">
        <f t="shared" si="46"/>
        <v>8631.4045112781951</v>
      </c>
      <c r="AL33" s="68">
        <f t="shared" si="47"/>
        <v>9170.3233082706756</v>
      </c>
      <c r="AM33" s="69">
        <f t="shared" si="48"/>
        <v>538.91999999999996</v>
      </c>
      <c r="AN33" s="67">
        <v>0</v>
      </c>
      <c r="AO33" s="67">
        <v>0</v>
      </c>
    </row>
    <row r="34" spans="1:41" s="3" customFormat="1" ht="15">
      <c r="A34" s="58" t="s">
        <v>769</v>
      </c>
      <c r="B34" s="59" t="s">
        <v>768</v>
      </c>
      <c r="C34" s="59" t="str">
        <f>CONCATENATE(B34," ",A34," PUBLIC SCHOOLS CHARTER")</f>
        <v>18901 CATALYST PUBLIC SCHOOLS CHARTER</v>
      </c>
      <c r="D34" s="36">
        <v>0</v>
      </c>
      <c r="E34" s="36">
        <v>0</v>
      </c>
      <c r="F34" s="36">
        <v>0</v>
      </c>
      <c r="G34" s="36">
        <v>787567.61</v>
      </c>
      <c r="H34" s="36">
        <v>61526.92</v>
      </c>
      <c r="I34" s="36">
        <v>0</v>
      </c>
      <c r="J34" s="36">
        <v>162831.28</v>
      </c>
      <c r="K34" s="36">
        <v>0</v>
      </c>
      <c r="L34" s="36">
        <v>16703.72</v>
      </c>
      <c r="M34" s="36">
        <v>262422.86</v>
      </c>
      <c r="N34" s="50">
        <v>3.7100000000000001E-2</v>
      </c>
      <c r="O34" s="53">
        <v>0.14399999999999999</v>
      </c>
      <c r="P34" s="36">
        <v>0</v>
      </c>
      <c r="Q34" s="66">
        <v>0</v>
      </c>
      <c r="R34" s="66">
        <v>0</v>
      </c>
      <c r="S34" s="67">
        <v>0</v>
      </c>
      <c r="T34" s="67">
        <v>0</v>
      </c>
      <c r="U34" s="67">
        <v>0</v>
      </c>
      <c r="V34" s="36">
        <v>0</v>
      </c>
      <c r="W34" s="67">
        <v>0</v>
      </c>
      <c r="X34" s="67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68">
        <f t="shared" si="43"/>
        <v>0</v>
      </c>
      <c r="AG34" s="68">
        <f t="shared" si="44"/>
        <v>0</v>
      </c>
      <c r="AH34" s="69">
        <f t="shared" si="45"/>
        <v>0</v>
      </c>
      <c r="AI34" s="36">
        <v>0</v>
      </c>
      <c r="AJ34" s="36">
        <v>0</v>
      </c>
      <c r="AK34" s="68">
        <f t="shared" si="46"/>
        <v>0</v>
      </c>
      <c r="AL34" s="68">
        <f t="shared" si="47"/>
        <v>0</v>
      </c>
      <c r="AM34" s="69">
        <f t="shared" si="48"/>
        <v>0</v>
      </c>
      <c r="AN34" s="67">
        <v>0</v>
      </c>
      <c r="AO34" s="67">
        <v>0</v>
      </c>
    </row>
    <row r="35" spans="1:41" s="3" customFormat="1" ht="15">
      <c r="A35" s="58" t="s">
        <v>540</v>
      </c>
      <c r="B35" s="58" t="s">
        <v>133</v>
      </c>
      <c r="C35" s="58" t="str">
        <f t="shared" ref="C35:C41" si="49">CONCATENATE(B35," ",A35," SCHOOL DISTRICT")</f>
        <v>20215 CENTERVILLE SCHOOL DISTRICT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24732.09</v>
      </c>
      <c r="K35" s="36">
        <v>0</v>
      </c>
      <c r="L35" s="36">
        <v>2748.01</v>
      </c>
      <c r="M35" s="36">
        <v>176797.74</v>
      </c>
      <c r="N35" s="50">
        <v>0.13100000000000001</v>
      </c>
      <c r="O35" s="53">
        <v>0.318</v>
      </c>
      <c r="P35" s="36">
        <v>0</v>
      </c>
      <c r="Q35" s="66">
        <v>0</v>
      </c>
      <c r="R35" s="66">
        <v>0</v>
      </c>
      <c r="S35" s="67">
        <v>0</v>
      </c>
      <c r="T35" s="67">
        <v>0</v>
      </c>
      <c r="U35" s="67">
        <v>0</v>
      </c>
      <c r="V35" s="36">
        <v>0</v>
      </c>
      <c r="W35" s="67">
        <v>0</v>
      </c>
      <c r="X35" s="67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68">
        <f t="shared" si="43"/>
        <v>0</v>
      </c>
      <c r="AG35" s="68">
        <f t="shared" si="44"/>
        <v>0</v>
      </c>
      <c r="AH35" s="69">
        <f t="shared" si="45"/>
        <v>0</v>
      </c>
      <c r="AI35" s="36">
        <v>0</v>
      </c>
      <c r="AJ35" s="36">
        <v>0</v>
      </c>
      <c r="AK35" s="68">
        <f t="shared" si="46"/>
        <v>0</v>
      </c>
      <c r="AL35" s="68">
        <f t="shared" si="47"/>
        <v>0</v>
      </c>
      <c r="AM35" s="69">
        <f t="shared" si="48"/>
        <v>0</v>
      </c>
      <c r="AN35" s="67">
        <v>0</v>
      </c>
      <c r="AO35" s="67">
        <v>0</v>
      </c>
    </row>
    <row r="36" spans="1:41" s="3" customFormat="1" ht="15">
      <c r="A36" s="58" t="s">
        <v>530</v>
      </c>
      <c r="B36" s="58" t="s">
        <v>123</v>
      </c>
      <c r="C36" s="58" t="str">
        <f t="shared" si="49"/>
        <v>18401 CENTRAL KITSAP SCHOOL DISTRICT</v>
      </c>
      <c r="D36" s="36">
        <v>0</v>
      </c>
      <c r="E36" s="36">
        <v>227813.31</v>
      </c>
      <c r="F36" s="36">
        <v>28779.01</v>
      </c>
      <c r="G36" s="36">
        <v>21640373.399999999</v>
      </c>
      <c r="H36" s="36">
        <v>4356443.8099999996</v>
      </c>
      <c r="I36" s="36">
        <v>609439.73</v>
      </c>
      <c r="J36" s="36">
        <v>3390163.19</v>
      </c>
      <c r="K36" s="36">
        <v>976352.7</v>
      </c>
      <c r="L36" s="36">
        <v>386283.78</v>
      </c>
      <c r="M36" s="36">
        <v>6902192.1100000003</v>
      </c>
      <c r="N36" s="50">
        <v>3.5799999999999998E-2</v>
      </c>
      <c r="O36" s="53">
        <v>0.13589999999999999</v>
      </c>
      <c r="P36" s="36">
        <v>0</v>
      </c>
      <c r="Q36" s="66">
        <v>0</v>
      </c>
      <c r="R36" s="66">
        <v>0</v>
      </c>
      <c r="S36" s="67">
        <v>0</v>
      </c>
      <c r="T36" s="67">
        <v>0</v>
      </c>
      <c r="U36" s="67">
        <v>0</v>
      </c>
      <c r="V36" s="36">
        <v>0</v>
      </c>
      <c r="W36" s="67">
        <v>0</v>
      </c>
      <c r="X36" s="67">
        <v>0</v>
      </c>
      <c r="Y36" s="36">
        <v>0</v>
      </c>
      <c r="Z36" s="36">
        <v>114905.78</v>
      </c>
      <c r="AA36" s="36">
        <v>600895.30000000005</v>
      </c>
      <c r="AB36" s="36">
        <v>1183327.49</v>
      </c>
      <c r="AC36" s="36">
        <v>6604883.5599999996</v>
      </c>
      <c r="AD36" s="36">
        <v>612.79999999999995</v>
      </c>
      <c r="AE36" s="36">
        <v>6199753.7300000004</v>
      </c>
      <c r="AF36" s="68">
        <f t="shared" si="43"/>
        <v>10117.091595953005</v>
      </c>
      <c r="AG36" s="68">
        <f t="shared" si="44"/>
        <v>10778.204242819844</v>
      </c>
      <c r="AH36" s="69">
        <f t="shared" si="45"/>
        <v>661.11</v>
      </c>
      <c r="AI36" s="36">
        <v>112.55</v>
      </c>
      <c r="AJ36" s="36">
        <v>1113897.6399999999</v>
      </c>
      <c r="AK36" s="68">
        <f t="shared" si="46"/>
        <v>9896.9137272323405</v>
      </c>
      <c r="AL36" s="68">
        <f t="shared" si="47"/>
        <v>10513.793780541982</v>
      </c>
      <c r="AM36" s="69">
        <f t="shared" si="48"/>
        <v>616.88</v>
      </c>
      <c r="AN36" s="67">
        <v>0</v>
      </c>
      <c r="AO36" s="67">
        <v>0</v>
      </c>
    </row>
    <row r="37" spans="1:41" s="3" customFormat="1" ht="15">
      <c r="A37" s="58" t="s">
        <v>642</v>
      </c>
      <c r="B37" s="58" t="s">
        <v>236</v>
      </c>
      <c r="C37" s="58" t="str">
        <f t="shared" si="49"/>
        <v>32356 CENTRAL VALLEY SCHOOL DISTRICT</v>
      </c>
      <c r="D37" s="36">
        <v>0</v>
      </c>
      <c r="E37" s="36">
        <v>0</v>
      </c>
      <c r="F37" s="36">
        <v>0</v>
      </c>
      <c r="G37" s="36">
        <v>25466265.84</v>
      </c>
      <c r="H37" s="36">
        <v>6634603.0099999998</v>
      </c>
      <c r="I37" s="36">
        <v>945284.19</v>
      </c>
      <c r="J37" s="36">
        <v>4043309.62</v>
      </c>
      <c r="K37" s="36">
        <v>1267541.3</v>
      </c>
      <c r="L37" s="36">
        <v>438674.64</v>
      </c>
      <c r="M37" s="36">
        <v>7154268.3300000001</v>
      </c>
      <c r="N37" s="50">
        <v>5.04E-2</v>
      </c>
      <c r="O37" s="53">
        <v>0.13370000000000001</v>
      </c>
      <c r="P37" s="36">
        <v>0</v>
      </c>
      <c r="Q37" s="66">
        <v>0</v>
      </c>
      <c r="R37" s="66">
        <v>0</v>
      </c>
      <c r="S37" s="67">
        <v>0</v>
      </c>
      <c r="T37" s="67">
        <v>0</v>
      </c>
      <c r="U37" s="67">
        <v>0</v>
      </c>
      <c r="V37" s="36">
        <v>0</v>
      </c>
      <c r="W37" s="67">
        <v>0</v>
      </c>
      <c r="X37" s="67">
        <v>0</v>
      </c>
      <c r="Y37" s="36">
        <v>0</v>
      </c>
      <c r="Z37" s="36">
        <v>0</v>
      </c>
      <c r="AA37" s="36">
        <v>0</v>
      </c>
      <c r="AB37" s="36">
        <v>3599398.35</v>
      </c>
      <c r="AC37" s="36">
        <v>6423882.54</v>
      </c>
      <c r="AD37" s="36">
        <v>671.26</v>
      </c>
      <c r="AE37" s="36">
        <v>6056437.79</v>
      </c>
      <c r="AF37" s="68">
        <f t="shared" si="43"/>
        <v>9022.4917170693916</v>
      </c>
      <c r="AG37" s="68">
        <f t="shared" si="44"/>
        <v>9569.8872865953581</v>
      </c>
      <c r="AH37" s="69">
        <f t="shared" si="45"/>
        <v>547.4</v>
      </c>
      <c r="AI37" s="36">
        <v>384.57</v>
      </c>
      <c r="AJ37" s="36">
        <v>3385903.76</v>
      </c>
      <c r="AK37" s="68">
        <f t="shared" si="46"/>
        <v>8804.3886938658761</v>
      </c>
      <c r="AL37" s="68">
        <f t="shared" si="47"/>
        <v>9359.540135736017</v>
      </c>
      <c r="AM37" s="69">
        <f t="shared" si="48"/>
        <v>555.15</v>
      </c>
      <c r="AN37" s="67">
        <v>0</v>
      </c>
      <c r="AO37" s="67">
        <v>0</v>
      </c>
    </row>
    <row r="38" spans="1:41" s="3" customFormat="1" ht="15">
      <c r="A38" s="58" t="s">
        <v>560</v>
      </c>
      <c r="B38" s="58" t="s">
        <v>153</v>
      </c>
      <c r="C38" s="58" t="str">
        <f t="shared" si="49"/>
        <v>21401 CENTRALIA SCHOOL DISTRICT</v>
      </c>
      <c r="D38" s="36">
        <v>0</v>
      </c>
      <c r="E38" s="36">
        <v>179062.88</v>
      </c>
      <c r="F38" s="36">
        <v>0</v>
      </c>
      <c r="G38" s="36">
        <v>5808266.2300000004</v>
      </c>
      <c r="H38" s="36">
        <v>1239323.0900000001</v>
      </c>
      <c r="I38" s="36">
        <v>1036024.89</v>
      </c>
      <c r="J38" s="36">
        <v>1724214.7</v>
      </c>
      <c r="K38" s="36">
        <v>807619.42</v>
      </c>
      <c r="L38" s="36">
        <v>100049.33</v>
      </c>
      <c r="M38" s="36">
        <v>2833984.07</v>
      </c>
      <c r="N38" s="50">
        <v>1.6E-2</v>
      </c>
      <c r="O38" s="53">
        <v>0.1386</v>
      </c>
      <c r="P38" s="36">
        <v>0</v>
      </c>
      <c r="Q38" s="66">
        <v>0</v>
      </c>
      <c r="R38" s="66">
        <v>0</v>
      </c>
      <c r="S38" s="67">
        <v>0</v>
      </c>
      <c r="T38" s="67">
        <v>0</v>
      </c>
      <c r="U38" s="67">
        <v>0</v>
      </c>
      <c r="V38" s="36">
        <v>0</v>
      </c>
      <c r="W38" s="67">
        <v>0</v>
      </c>
      <c r="X38" s="67">
        <v>0</v>
      </c>
      <c r="Y38" s="36">
        <v>0</v>
      </c>
      <c r="Z38" s="36">
        <v>0</v>
      </c>
      <c r="AA38" s="36">
        <v>157056.84</v>
      </c>
      <c r="AB38" s="36">
        <v>476072.35</v>
      </c>
      <c r="AC38" s="36">
        <v>2336668.4500000002</v>
      </c>
      <c r="AD38" s="36">
        <v>242.99</v>
      </c>
      <c r="AE38" s="36">
        <v>2149883.8199999998</v>
      </c>
      <c r="AF38" s="68">
        <f t="shared" si="43"/>
        <v>8847.6226182147402</v>
      </c>
      <c r="AG38" s="68">
        <f t="shared" si="44"/>
        <v>9616.3152804642177</v>
      </c>
      <c r="AH38" s="69">
        <f t="shared" si="45"/>
        <v>768.69</v>
      </c>
      <c r="AI38" s="36">
        <v>51.93</v>
      </c>
      <c r="AJ38" s="36">
        <v>448171.33</v>
      </c>
      <c r="AK38" s="68">
        <f t="shared" si="46"/>
        <v>8630.2971307529369</v>
      </c>
      <c r="AL38" s="68">
        <f t="shared" si="47"/>
        <v>9167.5784710186781</v>
      </c>
      <c r="AM38" s="69">
        <f t="shared" si="48"/>
        <v>537.28</v>
      </c>
      <c r="AN38" s="67">
        <v>0</v>
      </c>
      <c r="AO38" s="67">
        <v>0</v>
      </c>
    </row>
    <row r="39" spans="1:41" s="3" customFormat="1" ht="15">
      <c r="A39" s="58" t="s">
        <v>558</v>
      </c>
      <c r="B39" s="58" t="s">
        <v>151</v>
      </c>
      <c r="C39" s="58" t="str">
        <f t="shared" si="49"/>
        <v>21302 CHEHALIS SCHOOL DISTRICT</v>
      </c>
      <c r="D39" s="36">
        <v>0</v>
      </c>
      <c r="E39" s="36">
        <v>0</v>
      </c>
      <c r="F39" s="36">
        <v>0</v>
      </c>
      <c r="G39" s="36">
        <v>4581226.42</v>
      </c>
      <c r="H39" s="36">
        <v>897322.59</v>
      </c>
      <c r="I39" s="36">
        <v>226163.06</v>
      </c>
      <c r="J39" s="36">
        <v>973124.6</v>
      </c>
      <c r="K39" s="36">
        <v>249980.85</v>
      </c>
      <c r="L39" s="36">
        <v>90723.21</v>
      </c>
      <c r="M39" s="36">
        <v>1595832.51</v>
      </c>
      <c r="N39" s="50">
        <v>3.1399999999999997E-2</v>
      </c>
      <c r="O39" s="53">
        <v>0.1585</v>
      </c>
      <c r="P39" s="36">
        <v>171037.7</v>
      </c>
      <c r="Q39" s="66">
        <v>0</v>
      </c>
      <c r="R39" s="66">
        <v>7078.04</v>
      </c>
      <c r="S39" s="67">
        <v>3137891.84</v>
      </c>
      <c r="T39" s="67">
        <v>219545.87999999983</v>
      </c>
      <c r="U39" s="67">
        <v>100933.83</v>
      </c>
      <c r="V39" s="36">
        <v>0</v>
      </c>
      <c r="W39" s="67">
        <v>0</v>
      </c>
      <c r="X39" s="67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1740547.57</v>
      </c>
      <c r="AD39" s="36">
        <v>174.76</v>
      </c>
      <c r="AE39" s="36">
        <v>1576753.17</v>
      </c>
      <c r="AF39" s="68">
        <f t="shared" si="43"/>
        <v>9022.3916800183106</v>
      </c>
      <c r="AG39" s="68">
        <f t="shared" si="44"/>
        <v>9959.6450560769063</v>
      </c>
      <c r="AH39" s="69">
        <f t="shared" si="45"/>
        <v>937.25</v>
      </c>
      <c r="AI39" s="36">
        <v>0</v>
      </c>
      <c r="AJ39" s="36">
        <v>0</v>
      </c>
      <c r="AK39" s="68">
        <f t="shared" si="46"/>
        <v>0</v>
      </c>
      <c r="AL39" s="68">
        <f t="shared" si="47"/>
        <v>0</v>
      </c>
      <c r="AM39" s="69">
        <f t="shared" si="48"/>
        <v>0</v>
      </c>
      <c r="AN39" s="67">
        <v>0</v>
      </c>
      <c r="AO39" s="67">
        <v>0</v>
      </c>
    </row>
    <row r="40" spans="1:41" s="3" customFormat="1" ht="15">
      <c r="A40" s="58" t="s">
        <v>644</v>
      </c>
      <c r="B40" s="58" t="s">
        <v>238</v>
      </c>
      <c r="C40" s="58" t="str">
        <f t="shared" si="49"/>
        <v>32360 CHENEY SCHOOL DISTRICT</v>
      </c>
      <c r="D40" s="36">
        <v>0</v>
      </c>
      <c r="E40" s="36">
        <v>0</v>
      </c>
      <c r="F40" s="36">
        <v>2208.15</v>
      </c>
      <c r="G40" s="36">
        <v>9739674.2799999993</v>
      </c>
      <c r="H40" s="36">
        <v>1420378.71</v>
      </c>
      <c r="I40" s="36">
        <v>667203.36</v>
      </c>
      <c r="J40" s="36">
        <v>1833094.99</v>
      </c>
      <c r="K40" s="36">
        <v>709729.26</v>
      </c>
      <c r="L40" s="36">
        <v>161658.10999999999</v>
      </c>
      <c r="M40" s="36">
        <v>3812696.29</v>
      </c>
      <c r="N40" s="50">
        <v>9.1999999999999998E-3</v>
      </c>
      <c r="O40" s="53">
        <v>0.14180000000000001</v>
      </c>
      <c r="P40" s="36">
        <v>0</v>
      </c>
      <c r="Q40" s="66">
        <v>0</v>
      </c>
      <c r="R40" s="66">
        <v>0</v>
      </c>
      <c r="S40" s="67">
        <v>0</v>
      </c>
      <c r="T40" s="67">
        <v>0</v>
      </c>
      <c r="U40" s="67">
        <v>0</v>
      </c>
      <c r="V40" s="36">
        <v>0</v>
      </c>
      <c r="W40" s="67">
        <v>0</v>
      </c>
      <c r="X40" s="67">
        <v>0</v>
      </c>
      <c r="Y40" s="36">
        <v>0</v>
      </c>
      <c r="Z40" s="36">
        <v>44865.5</v>
      </c>
      <c r="AA40" s="36">
        <v>310228.59999999998</v>
      </c>
      <c r="AB40" s="36">
        <v>1028872.99</v>
      </c>
      <c r="AC40" s="36">
        <v>2423774.91</v>
      </c>
      <c r="AD40" s="36">
        <v>258.10000000000002</v>
      </c>
      <c r="AE40" s="36">
        <v>2283722.33</v>
      </c>
      <c r="AF40" s="68">
        <f t="shared" si="43"/>
        <v>8848.207400232468</v>
      </c>
      <c r="AG40" s="68">
        <f t="shared" si="44"/>
        <v>9390.8365362262684</v>
      </c>
      <c r="AH40" s="69">
        <f t="shared" si="45"/>
        <v>542.63</v>
      </c>
      <c r="AI40" s="36">
        <v>112.22</v>
      </c>
      <c r="AJ40" s="36">
        <v>968442.91</v>
      </c>
      <c r="AK40" s="68">
        <f t="shared" si="46"/>
        <v>8629.8601853502059</v>
      </c>
      <c r="AL40" s="68">
        <f t="shared" si="47"/>
        <v>9168.3567100338623</v>
      </c>
      <c r="AM40" s="69">
        <f t="shared" si="48"/>
        <v>538.5</v>
      </c>
      <c r="AN40" s="67">
        <v>0</v>
      </c>
      <c r="AO40" s="67">
        <v>7500</v>
      </c>
    </row>
    <row r="41" spans="1:41" s="3" customFormat="1" ht="15">
      <c r="A41" s="58" t="s">
        <v>650</v>
      </c>
      <c r="B41" s="58" t="s">
        <v>245</v>
      </c>
      <c r="C41" s="58" t="str">
        <f t="shared" si="49"/>
        <v>33036 CHEWELAH SCHOOL DISTRICT</v>
      </c>
      <c r="D41" s="36">
        <v>0</v>
      </c>
      <c r="E41" s="36">
        <v>21043.21</v>
      </c>
      <c r="F41" s="36">
        <v>20046.63</v>
      </c>
      <c r="G41" s="36">
        <v>1292428.07</v>
      </c>
      <c r="H41" s="36">
        <v>241777.07</v>
      </c>
      <c r="I41" s="36">
        <v>236876.93</v>
      </c>
      <c r="J41" s="36">
        <v>312199.63</v>
      </c>
      <c r="K41" s="36">
        <v>2551.89</v>
      </c>
      <c r="L41" s="36">
        <v>24414.95</v>
      </c>
      <c r="M41" s="36">
        <v>713764.51</v>
      </c>
      <c r="N41" s="50">
        <v>4.2500000000000003E-2</v>
      </c>
      <c r="O41" s="53">
        <v>0.15110000000000001</v>
      </c>
      <c r="P41" s="36">
        <v>0</v>
      </c>
      <c r="Q41" s="66">
        <v>0</v>
      </c>
      <c r="R41" s="66">
        <v>0</v>
      </c>
      <c r="S41" s="67">
        <v>0</v>
      </c>
      <c r="T41" s="67">
        <v>0</v>
      </c>
      <c r="U41" s="67">
        <v>0</v>
      </c>
      <c r="V41" s="36">
        <v>0</v>
      </c>
      <c r="W41" s="67">
        <v>0</v>
      </c>
      <c r="X41" s="67">
        <v>0</v>
      </c>
      <c r="Y41" s="36">
        <v>0</v>
      </c>
      <c r="Z41" s="36">
        <v>0</v>
      </c>
      <c r="AA41" s="36">
        <v>0</v>
      </c>
      <c r="AB41" s="36">
        <v>108114.9</v>
      </c>
      <c r="AC41" s="36">
        <v>499444.82</v>
      </c>
      <c r="AD41" s="36">
        <v>50.34</v>
      </c>
      <c r="AE41" s="36">
        <v>445410.68</v>
      </c>
      <c r="AF41" s="68">
        <f t="shared" si="43"/>
        <v>8848.046881207787</v>
      </c>
      <c r="AG41" s="68">
        <f t="shared" si="44"/>
        <v>9921.4306714342474</v>
      </c>
      <c r="AH41" s="69">
        <f t="shared" si="45"/>
        <v>1073.3800000000001</v>
      </c>
      <c r="AI41" s="36">
        <v>11.78</v>
      </c>
      <c r="AJ41" s="36">
        <v>101704.89</v>
      </c>
      <c r="AK41" s="68">
        <f t="shared" si="46"/>
        <v>8633.6918505942285</v>
      </c>
      <c r="AL41" s="68">
        <f t="shared" si="47"/>
        <v>9177.8353140916806</v>
      </c>
      <c r="AM41" s="69">
        <f t="shared" si="48"/>
        <v>544.14</v>
      </c>
      <c r="AN41" s="67">
        <v>0</v>
      </c>
      <c r="AO41" s="67">
        <v>0</v>
      </c>
    </row>
    <row r="42" spans="1:41" s="3" customFormat="1" ht="15">
      <c r="A42" s="58" t="s">
        <v>742</v>
      </c>
      <c r="B42" s="59" t="s">
        <v>741</v>
      </c>
      <c r="C42" s="59" t="str">
        <f>CONCATENATE(B42," ",A42," TRIBAL COMPACT")</f>
        <v>27901 CHIEF LESCHI TRIBAL COMPACT</v>
      </c>
      <c r="D42" s="36">
        <v>56419.54</v>
      </c>
      <c r="E42" s="36">
        <v>0</v>
      </c>
      <c r="F42" s="36">
        <v>0</v>
      </c>
      <c r="G42" s="36">
        <v>1127797.9099999999</v>
      </c>
      <c r="H42" s="36">
        <v>158838.42000000001</v>
      </c>
      <c r="I42" s="36">
        <v>201606.81</v>
      </c>
      <c r="J42" s="36">
        <v>232243.72</v>
      </c>
      <c r="K42" s="36">
        <v>0</v>
      </c>
      <c r="L42" s="36">
        <v>20998.32</v>
      </c>
      <c r="M42" s="36">
        <v>658088.42000000004</v>
      </c>
      <c r="N42" s="50">
        <v>3.7100000000000001E-2</v>
      </c>
      <c r="O42" s="54">
        <v>0.14399999999999999</v>
      </c>
      <c r="P42" s="36">
        <v>0</v>
      </c>
      <c r="Q42" s="66">
        <v>0</v>
      </c>
      <c r="R42" s="66">
        <v>0</v>
      </c>
      <c r="S42" s="67">
        <v>0</v>
      </c>
      <c r="T42" s="67">
        <v>0</v>
      </c>
      <c r="U42" s="67">
        <v>0</v>
      </c>
      <c r="V42" s="36">
        <v>0</v>
      </c>
      <c r="W42" s="67">
        <v>0</v>
      </c>
      <c r="X42" s="67">
        <v>0</v>
      </c>
      <c r="Y42" s="36">
        <v>0</v>
      </c>
      <c r="Z42" s="36">
        <v>4390.09</v>
      </c>
      <c r="AA42" s="36">
        <v>1557.92</v>
      </c>
      <c r="AB42" s="36">
        <v>63307.15</v>
      </c>
      <c r="AC42" s="36">
        <v>353637.36</v>
      </c>
      <c r="AD42" s="36">
        <v>35.58</v>
      </c>
      <c r="AE42" s="36">
        <v>340811.14</v>
      </c>
      <c r="AF42" s="68">
        <f t="shared" si="43"/>
        <v>9578.7279370432843</v>
      </c>
      <c r="AG42" s="68">
        <f t="shared" si="44"/>
        <v>9939.2175379426644</v>
      </c>
      <c r="AH42" s="69">
        <f t="shared" si="45"/>
        <v>360.49</v>
      </c>
      <c r="AI42" s="36">
        <v>6.38</v>
      </c>
      <c r="AJ42" s="36">
        <v>59801.87</v>
      </c>
      <c r="AK42" s="68">
        <f t="shared" si="46"/>
        <v>9373.3338557993739</v>
      </c>
      <c r="AL42" s="68">
        <f t="shared" si="47"/>
        <v>9922.7507836990608</v>
      </c>
      <c r="AM42" s="69">
        <f t="shared" si="48"/>
        <v>549.41999999999996</v>
      </c>
      <c r="AN42" s="67">
        <v>0</v>
      </c>
      <c r="AO42" s="67">
        <v>0</v>
      </c>
    </row>
    <row r="43" spans="1:41" s="3" customFormat="1" ht="15">
      <c r="A43" s="58" t="s">
        <v>506</v>
      </c>
      <c r="B43" s="58" t="s">
        <v>99</v>
      </c>
      <c r="C43" s="58" t="str">
        <f t="shared" ref="C43:C80" si="50">CONCATENATE(B43," ",A43," SCHOOL DISTRICT")</f>
        <v>16049 CHIMACUM SCHOOL DISTRICT</v>
      </c>
      <c r="D43" s="36">
        <v>0</v>
      </c>
      <c r="E43" s="36">
        <v>25366.639999999999</v>
      </c>
      <c r="F43" s="36">
        <v>7744.95</v>
      </c>
      <c r="G43" s="36">
        <v>1350389.78</v>
      </c>
      <c r="H43" s="36">
        <v>235456.26</v>
      </c>
      <c r="I43" s="36">
        <v>129547.02</v>
      </c>
      <c r="J43" s="36">
        <v>291452.09000000003</v>
      </c>
      <c r="K43" s="36">
        <v>0</v>
      </c>
      <c r="L43" s="36">
        <v>21916.27</v>
      </c>
      <c r="M43" s="36">
        <v>920026.24</v>
      </c>
      <c r="N43" s="50">
        <v>4.0300000000000002E-2</v>
      </c>
      <c r="O43" s="53">
        <v>0.22220000000000001</v>
      </c>
      <c r="P43" s="36">
        <v>0</v>
      </c>
      <c r="Q43" s="66">
        <v>0</v>
      </c>
      <c r="R43" s="66">
        <v>0</v>
      </c>
      <c r="S43" s="67">
        <v>0</v>
      </c>
      <c r="T43" s="67">
        <v>0</v>
      </c>
      <c r="U43" s="67">
        <v>0</v>
      </c>
      <c r="V43" s="36">
        <v>0</v>
      </c>
      <c r="W43" s="67">
        <v>0</v>
      </c>
      <c r="X43" s="67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193913.57</v>
      </c>
      <c r="AD43" s="36">
        <v>18.829999999999998</v>
      </c>
      <c r="AE43" s="36">
        <v>180349.68</v>
      </c>
      <c r="AF43" s="68">
        <f t="shared" si="43"/>
        <v>9577.7843866171006</v>
      </c>
      <c r="AG43" s="68">
        <f t="shared" si="44"/>
        <v>10298.118428040363</v>
      </c>
      <c r="AH43" s="69">
        <f t="shared" si="45"/>
        <v>720.33</v>
      </c>
      <c r="AI43" s="36">
        <v>0</v>
      </c>
      <c r="AJ43" s="36">
        <v>0</v>
      </c>
      <c r="AK43" s="68">
        <f t="shared" si="46"/>
        <v>0</v>
      </c>
      <c r="AL43" s="68">
        <f t="shared" si="47"/>
        <v>0</v>
      </c>
      <c r="AM43" s="69">
        <f t="shared" si="48"/>
        <v>0</v>
      </c>
      <c r="AN43" s="67">
        <v>0</v>
      </c>
      <c r="AO43" s="67">
        <v>0</v>
      </c>
    </row>
    <row r="44" spans="1:41" s="3" customFormat="1" ht="15">
      <c r="A44" s="58" t="s">
        <v>424</v>
      </c>
      <c r="B44" s="58" t="s">
        <v>17</v>
      </c>
      <c r="C44" s="58" t="str">
        <f t="shared" si="50"/>
        <v>02250 CLARKSTON SCHOOL DISTRICT</v>
      </c>
      <c r="D44" s="36">
        <v>0</v>
      </c>
      <c r="E44" s="36">
        <v>3141.13</v>
      </c>
      <c r="F44" s="36">
        <v>2653.39</v>
      </c>
      <c r="G44" s="36">
        <v>4321329.71</v>
      </c>
      <c r="H44" s="36">
        <v>792143.25</v>
      </c>
      <c r="I44" s="36">
        <v>417651.43</v>
      </c>
      <c r="J44" s="36">
        <v>905638.68</v>
      </c>
      <c r="K44" s="36">
        <v>58080.82</v>
      </c>
      <c r="L44" s="36">
        <v>72309.789999999994</v>
      </c>
      <c r="M44" s="36">
        <v>1344158.52</v>
      </c>
      <c r="N44" s="50">
        <v>4.9599999999999998E-2</v>
      </c>
      <c r="O44" s="53">
        <v>0.1966</v>
      </c>
      <c r="P44" s="36">
        <v>0</v>
      </c>
      <c r="Q44" s="66">
        <v>0</v>
      </c>
      <c r="R44" s="66">
        <v>0</v>
      </c>
      <c r="S44" s="67">
        <v>0</v>
      </c>
      <c r="T44" s="67">
        <v>0</v>
      </c>
      <c r="U44" s="67">
        <v>0</v>
      </c>
      <c r="V44" s="36">
        <v>0</v>
      </c>
      <c r="W44" s="67">
        <v>0</v>
      </c>
      <c r="X44" s="67">
        <v>0</v>
      </c>
      <c r="Y44" s="36">
        <v>0</v>
      </c>
      <c r="Z44" s="36">
        <v>0</v>
      </c>
      <c r="AA44" s="36">
        <v>65673.63</v>
      </c>
      <c r="AB44" s="36">
        <v>0</v>
      </c>
      <c r="AC44" s="36">
        <v>1332666.3500000001</v>
      </c>
      <c r="AD44" s="36">
        <v>139.58000000000001</v>
      </c>
      <c r="AE44" s="36">
        <v>1234848.43</v>
      </c>
      <c r="AF44" s="68">
        <f t="shared" si="43"/>
        <v>8846.886588336436</v>
      </c>
      <c r="AG44" s="68">
        <f t="shared" si="44"/>
        <v>9547.6884224100868</v>
      </c>
      <c r="AH44" s="69">
        <f t="shared" si="45"/>
        <v>700.8</v>
      </c>
      <c r="AI44" s="36">
        <v>0</v>
      </c>
      <c r="AJ44" s="36">
        <v>0</v>
      </c>
      <c r="AK44" s="68">
        <f t="shared" si="46"/>
        <v>0</v>
      </c>
      <c r="AL44" s="68">
        <f t="shared" si="47"/>
        <v>0</v>
      </c>
      <c r="AM44" s="69">
        <f t="shared" si="48"/>
        <v>0</v>
      </c>
      <c r="AN44" s="67">
        <v>200</v>
      </c>
      <c r="AO44" s="67">
        <v>0</v>
      </c>
    </row>
    <row r="45" spans="1:41" s="3" customFormat="1" ht="15">
      <c r="A45" s="58" t="s">
        <v>537</v>
      </c>
      <c r="B45" s="58" t="s">
        <v>130</v>
      </c>
      <c r="C45" s="58" t="str">
        <f t="shared" si="50"/>
        <v>19404 CLE ELUM-ROSLYN SCHOOL DISTRICT</v>
      </c>
      <c r="D45" s="36">
        <v>0</v>
      </c>
      <c r="E45" s="36">
        <v>0</v>
      </c>
      <c r="F45" s="36">
        <v>0</v>
      </c>
      <c r="G45" s="36">
        <v>1635381.49</v>
      </c>
      <c r="H45" s="36">
        <v>202577.47</v>
      </c>
      <c r="I45" s="36">
        <v>0</v>
      </c>
      <c r="J45" s="36">
        <v>222901.76000000001</v>
      </c>
      <c r="K45" s="36">
        <v>32758.85</v>
      </c>
      <c r="L45" s="36">
        <v>28422.98</v>
      </c>
      <c r="M45" s="36">
        <v>704726.96</v>
      </c>
      <c r="N45" s="50">
        <v>6.1600000000000002E-2</v>
      </c>
      <c r="O45" s="53">
        <v>0.20699999999999999</v>
      </c>
      <c r="P45" s="36">
        <v>0</v>
      </c>
      <c r="Q45" s="66">
        <v>0</v>
      </c>
      <c r="R45" s="66">
        <v>0</v>
      </c>
      <c r="S45" s="67">
        <v>0</v>
      </c>
      <c r="T45" s="67">
        <v>0</v>
      </c>
      <c r="U45" s="67">
        <v>0</v>
      </c>
      <c r="V45" s="36">
        <v>0</v>
      </c>
      <c r="W45" s="67">
        <v>0</v>
      </c>
      <c r="X45" s="67">
        <v>0</v>
      </c>
      <c r="Y45" s="36">
        <v>0</v>
      </c>
      <c r="Z45" s="36">
        <v>3614.05</v>
      </c>
      <c r="AA45" s="36">
        <v>52217.42</v>
      </c>
      <c r="AB45" s="36">
        <v>138712.10999999999</v>
      </c>
      <c r="AC45" s="36">
        <v>585867.68000000005</v>
      </c>
      <c r="AD45" s="36">
        <v>61.31</v>
      </c>
      <c r="AE45" s="36">
        <v>564822.02</v>
      </c>
      <c r="AF45" s="68">
        <f t="shared" si="43"/>
        <v>9212.5594519654223</v>
      </c>
      <c r="AG45" s="68">
        <f t="shared" si="44"/>
        <v>9555.8258032947324</v>
      </c>
      <c r="AH45" s="69">
        <f t="shared" si="45"/>
        <v>343.27</v>
      </c>
      <c r="AI45" s="36">
        <v>14.51</v>
      </c>
      <c r="AJ45" s="36">
        <v>130417.78</v>
      </c>
      <c r="AK45" s="68">
        <f t="shared" si="46"/>
        <v>8988.1309441764297</v>
      </c>
      <c r="AL45" s="68">
        <f t="shared" si="47"/>
        <v>9559.7594762232929</v>
      </c>
      <c r="AM45" s="69">
        <f t="shared" si="48"/>
        <v>571.63</v>
      </c>
      <c r="AN45" s="67">
        <v>1105</v>
      </c>
      <c r="AO45" s="67">
        <v>41840</v>
      </c>
    </row>
    <row r="46" spans="1:41" s="3" customFormat="1" ht="15">
      <c r="A46" s="58" t="s">
        <v>600</v>
      </c>
      <c r="B46" s="58" t="s">
        <v>194</v>
      </c>
      <c r="C46" s="58" t="str">
        <f t="shared" si="50"/>
        <v>27400 CLOVER PARK SCHOOL DISTRICT</v>
      </c>
      <c r="D46" s="36">
        <v>0</v>
      </c>
      <c r="E46" s="36">
        <v>466812.98</v>
      </c>
      <c r="F46" s="36">
        <v>81593.61</v>
      </c>
      <c r="G46" s="36">
        <v>22159193.109999999</v>
      </c>
      <c r="H46" s="36">
        <v>5597340.5999999996</v>
      </c>
      <c r="I46" s="36">
        <v>2496740.16</v>
      </c>
      <c r="J46" s="36">
        <v>5661201.6900000004</v>
      </c>
      <c r="K46" s="36">
        <v>3138190.51</v>
      </c>
      <c r="L46" s="36">
        <v>370263.98</v>
      </c>
      <c r="M46" s="36">
        <v>8870007.8900000006</v>
      </c>
      <c r="N46" s="76">
        <v>4.9399999999999999E-2</v>
      </c>
      <c r="O46" s="53">
        <v>0.161</v>
      </c>
      <c r="P46" s="36">
        <v>0</v>
      </c>
      <c r="Q46" s="66">
        <v>0</v>
      </c>
      <c r="R46" s="66">
        <v>0</v>
      </c>
      <c r="S46" s="67">
        <v>153769.09</v>
      </c>
      <c r="T46" s="67">
        <v>13447.850000000013</v>
      </c>
      <c r="U46" s="67">
        <v>5911.77</v>
      </c>
      <c r="V46" s="36">
        <v>2290028.69</v>
      </c>
      <c r="W46" s="67">
        <v>203163.01999999979</v>
      </c>
      <c r="X46" s="67">
        <v>87213.53</v>
      </c>
      <c r="Y46" s="36">
        <v>0</v>
      </c>
      <c r="Z46" s="36">
        <v>154244.29999999999</v>
      </c>
      <c r="AA46" s="36">
        <v>337824.93</v>
      </c>
      <c r="AB46" s="36">
        <v>3439799.46</v>
      </c>
      <c r="AC46" s="36">
        <v>5686773.8600000003</v>
      </c>
      <c r="AD46" s="36">
        <v>585.54999999999995</v>
      </c>
      <c r="AE46" s="36">
        <v>5394514.1900000004</v>
      </c>
      <c r="AF46" s="68">
        <f t="shared" si="43"/>
        <v>9212.7302365297601</v>
      </c>
      <c r="AG46" s="68">
        <f t="shared" si="44"/>
        <v>9711.8501579711392</v>
      </c>
      <c r="AH46" s="69">
        <f t="shared" si="45"/>
        <v>499.12</v>
      </c>
      <c r="AI46" s="36">
        <v>360.07</v>
      </c>
      <c r="AJ46" s="36">
        <v>3238608.95</v>
      </c>
      <c r="AK46" s="68">
        <f t="shared" si="46"/>
        <v>8994.3870636265183</v>
      </c>
      <c r="AL46" s="68">
        <f t="shared" si="47"/>
        <v>9553.1409448162849</v>
      </c>
      <c r="AM46" s="69">
        <f t="shared" si="48"/>
        <v>558.75</v>
      </c>
      <c r="AN46" s="67">
        <v>0</v>
      </c>
      <c r="AO46" s="67">
        <v>20000</v>
      </c>
    </row>
    <row r="47" spans="1:41" s="3" customFormat="1" ht="15">
      <c r="A47" s="58" t="s">
        <v>686</v>
      </c>
      <c r="B47" s="58" t="s">
        <v>283</v>
      </c>
      <c r="C47" s="58" t="str">
        <f t="shared" si="50"/>
        <v>38300 COLFAX SCHOOL DISTRICT</v>
      </c>
      <c r="D47" s="36">
        <v>0</v>
      </c>
      <c r="E47" s="36">
        <v>0</v>
      </c>
      <c r="F47" s="36">
        <v>0</v>
      </c>
      <c r="G47" s="36">
        <v>743865.25</v>
      </c>
      <c r="H47" s="36">
        <v>109672.72</v>
      </c>
      <c r="I47" s="36">
        <v>0</v>
      </c>
      <c r="J47" s="36">
        <v>132860.04999999999</v>
      </c>
      <c r="K47" s="36">
        <v>0</v>
      </c>
      <c r="L47" s="36">
        <v>15908.8</v>
      </c>
      <c r="M47" s="36">
        <v>542902.42000000004</v>
      </c>
      <c r="N47" s="50">
        <v>5.04E-2</v>
      </c>
      <c r="O47" s="53">
        <v>0.23530000000000001</v>
      </c>
      <c r="P47" s="36">
        <v>0</v>
      </c>
      <c r="Q47" s="66">
        <v>0</v>
      </c>
      <c r="R47" s="66">
        <v>0</v>
      </c>
      <c r="S47" s="67">
        <v>0</v>
      </c>
      <c r="T47" s="67">
        <v>0</v>
      </c>
      <c r="U47" s="67">
        <v>0</v>
      </c>
      <c r="V47" s="36">
        <v>0</v>
      </c>
      <c r="W47" s="67">
        <v>0</v>
      </c>
      <c r="X47" s="67">
        <v>0</v>
      </c>
      <c r="Y47" s="36">
        <v>0</v>
      </c>
      <c r="Z47" s="36">
        <v>2815.1</v>
      </c>
      <c r="AA47" s="36">
        <v>4863.1400000000003</v>
      </c>
      <c r="AB47" s="36">
        <v>92014.38</v>
      </c>
      <c r="AC47" s="36">
        <v>352928.62</v>
      </c>
      <c r="AD47" s="36">
        <v>37.69</v>
      </c>
      <c r="AE47" s="36">
        <v>340052.12</v>
      </c>
      <c r="AF47" s="68">
        <f t="shared" si="43"/>
        <v>9022.3433271424783</v>
      </c>
      <c r="AG47" s="68">
        <f t="shared" si="44"/>
        <v>9363.9856725922</v>
      </c>
      <c r="AH47" s="69">
        <f t="shared" si="45"/>
        <v>341.64</v>
      </c>
      <c r="AI47" s="36">
        <v>9.82</v>
      </c>
      <c r="AJ47" s="36">
        <v>86604.479999999996</v>
      </c>
      <c r="AK47" s="68">
        <f t="shared" si="46"/>
        <v>8819.1934826883898</v>
      </c>
      <c r="AL47" s="68">
        <f t="shared" si="47"/>
        <v>9370.0997963340124</v>
      </c>
      <c r="AM47" s="69">
        <f t="shared" si="48"/>
        <v>550.91</v>
      </c>
      <c r="AN47" s="67">
        <v>0</v>
      </c>
      <c r="AO47" s="67">
        <v>0</v>
      </c>
    </row>
    <row r="48" spans="1:41" s="3" customFormat="1" ht="15">
      <c r="A48" s="58" t="s">
        <v>670</v>
      </c>
      <c r="B48" s="58" t="s">
        <v>267</v>
      </c>
      <c r="C48" s="58" t="str">
        <f t="shared" si="50"/>
        <v>36250 COLLEGE PLACE SCHOOL DISTRICT</v>
      </c>
      <c r="D48" s="36">
        <v>0</v>
      </c>
      <c r="E48" s="36">
        <v>54167.47</v>
      </c>
      <c r="F48" s="36">
        <v>45392.05</v>
      </c>
      <c r="G48" s="36">
        <v>2614288.92</v>
      </c>
      <c r="H48" s="36">
        <v>592625.65</v>
      </c>
      <c r="I48" s="36">
        <v>460039.92</v>
      </c>
      <c r="J48" s="36">
        <v>551154.44999999995</v>
      </c>
      <c r="K48" s="36">
        <v>406565.74</v>
      </c>
      <c r="L48" s="36">
        <v>44362.48</v>
      </c>
      <c r="M48" s="36">
        <v>715582.06</v>
      </c>
      <c r="N48" s="50">
        <v>2.8199999999999999E-2</v>
      </c>
      <c r="O48" s="53">
        <v>0.13969999999999999</v>
      </c>
      <c r="P48" s="36">
        <v>0</v>
      </c>
      <c r="Q48" s="66">
        <v>0</v>
      </c>
      <c r="R48" s="66">
        <v>0</v>
      </c>
      <c r="S48" s="67">
        <v>0</v>
      </c>
      <c r="T48" s="67">
        <v>0</v>
      </c>
      <c r="U48" s="67">
        <v>0</v>
      </c>
      <c r="V48" s="36">
        <v>0</v>
      </c>
      <c r="W48" s="67">
        <v>0</v>
      </c>
      <c r="X48" s="67">
        <v>0</v>
      </c>
      <c r="Y48" s="36">
        <v>0</v>
      </c>
      <c r="Z48" s="36">
        <v>4154.13</v>
      </c>
      <c r="AA48" s="36">
        <v>35523.49</v>
      </c>
      <c r="AB48" s="36">
        <v>112512.07</v>
      </c>
      <c r="AC48" s="36">
        <v>1091809.69</v>
      </c>
      <c r="AD48" s="36">
        <v>113.88</v>
      </c>
      <c r="AE48" s="36">
        <v>1007625.42</v>
      </c>
      <c r="AF48" s="68">
        <f t="shared" si="43"/>
        <v>8848.1332982086406</v>
      </c>
      <c r="AG48" s="68">
        <f t="shared" si="44"/>
        <v>9587.3699508254304</v>
      </c>
      <c r="AH48" s="69">
        <f t="shared" si="45"/>
        <v>739.24</v>
      </c>
      <c r="AI48" s="36">
        <v>12.29</v>
      </c>
      <c r="AJ48" s="36">
        <v>105907.14</v>
      </c>
      <c r="AK48" s="68">
        <f t="shared" si="46"/>
        <v>8617.3425549227013</v>
      </c>
      <c r="AL48" s="68">
        <f t="shared" si="47"/>
        <v>9154.7656631407663</v>
      </c>
      <c r="AM48" s="69">
        <f t="shared" si="48"/>
        <v>537.41999999999996</v>
      </c>
      <c r="AN48" s="67">
        <v>0</v>
      </c>
      <c r="AO48" s="67">
        <v>0</v>
      </c>
    </row>
    <row r="49" spans="1:41" s="3" customFormat="1" ht="15">
      <c r="A49" s="58" t="s">
        <v>690</v>
      </c>
      <c r="B49" s="58" t="s">
        <v>287</v>
      </c>
      <c r="C49" s="58" t="str">
        <f t="shared" si="50"/>
        <v>38306 COLTON SCHOOL DISTRICT</v>
      </c>
      <c r="D49" s="36">
        <v>0</v>
      </c>
      <c r="E49" s="36">
        <v>0</v>
      </c>
      <c r="F49" s="36">
        <v>0</v>
      </c>
      <c r="G49" s="36">
        <v>271317.56</v>
      </c>
      <c r="H49" s="36">
        <v>25264.82</v>
      </c>
      <c r="I49" s="36">
        <v>0</v>
      </c>
      <c r="J49" s="36">
        <v>32447.65</v>
      </c>
      <c r="K49" s="36">
        <v>0</v>
      </c>
      <c r="L49" s="36">
        <v>0</v>
      </c>
      <c r="M49" s="36">
        <v>195599.54</v>
      </c>
      <c r="N49" s="50">
        <v>3.7900000000000003E-2</v>
      </c>
      <c r="O49" s="53">
        <v>0.1784</v>
      </c>
      <c r="P49" s="36">
        <v>0</v>
      </c>
      <c r="Q49" s="66">
        <v>0</v>
      </c>
      <c r="R49" s="66">
        <v>0</v>
      </c>
      <c r="S49" s="67">
        <v>0</v>
      </c>
      <c r="T49" s="67">
        <v>0</v>
      </c>
      <c r="U49" s="67">
        <v>0</v>
      </c>
      <c r="V49" s="36">
        <v>0</v>
      </c>
      <c r="W49" s="67">
        <v>0</v>
      </c>
      <c r="X49" s="67">
        <v>0</v>
      </c>
      <c r="Y49" s="36">
        <v>0</v>
      </c>
      <c r="Z49" s="36">
        <v>0</v>
      </c>
      <c r="AA49" s="36">
        <v>0</v>
      </c>
      <c r="AB49" s="36">
        <v>9278.68</v>
      </c>
      <c r="AC49" s="36">
        <v>56320.71</v>
      </c>
      <c r="AD49" s="36">
        <v>6.08</v>
      </c>
      <c r="AE49" s="36">
        <v>54435.09</v>
      </c>
      <c r="AF49" s="68">
        <f t="shared" si="43"/>
        <v>8953.1398026315783</v>
      </c>
      <c r="AG49" s="68">
        <f t="shared" si="44"/>
        <v>9263.2746710526317</v>
      </c>
      <c r="AH49" s="69">
        <f t="shared" si="45"/>
        <v>310.13</v>
      </c>
      <c r="AI49" s="36">
        <v>0.99</v>
      </c>
      <c r="AJ49" s="36">
        <v>8697.41</v>
      </c>
      <c r="AK49" s="68">
        <f t="shared" si="46"/>
        <v>8785.2626262626254</v>
      </c>
      <c r="AL49" s="68">
        <f t="shared" si="47"/>
        <v>9372.4040404040406</v>
      </c>
      <c r="AM49" s="69">
        <f t="shared" si="48"/>
        <v>587.14</v>
      </c>
      <c r="AN49" s="67">
        <v>0</v>
      </c>
      <c r="AO49" s="67">
        <v>0</v>
      </c>
    </row>
    <row r="50" spans="1:41" s="3" customFormat="1" ht="15">
      <c r="A50" s="58" t="s">
        <v>784</v>
      </c>
      <c r="B50" s="58" t="s">
        <v>252</v>
      </c>
      <c r="C50" s="58" t="str">
        <f t="shared" si="50"/>
        <v>33206 COLUMBIA (STEVENS) SCHOOL DISTRICT</v>
      </c>
      <c r="D50" s="36">
        <v>0</v>
      </c>
      <c r="E50" s="36">
        <v>0</v>
      </c>
      <c r="F50" s="36">
        <v>0</v>
      </c>
      <c r="G50" s="36">
        <v>176621.9</v>
      </c>
      <c r="H50" s="36">
        <v>27169.9</v>
      </c>
      <c r="I50" s="36">
        <v>40310.629999999997</v>
      </c>
      <c r="J50" s="36">
        <v>66491.759999999995</v>
      </c>
      <c r="K50" s="36">
        <v>0</v>
      </c>
      <c r="L50" s="36">
        <v>0</v>
      </c>
      <c r="M50" s="36">
        <v>264863.33</v>
      </c>
      <c r="N50" s="50">
        <v>3.4099999999999998E-2</v>
      </c>
      <c r="O50" s="53">
        <v>0.30880000000000002</v>
      </c>
      <c r="P50" s="36">
        <v>0</v>
      </c>
      <c r="Q50" s="66">
        <v>0</v>
      </c>
      <c r="R50" s="66">
        <v>0</v>
      </c>
      <c r="S50" s="67">
        <v>0</v>
      </c>
      <c r="T50" s="67">
        <v>0</v>
      </c>
      <c r="U50" s="67">
        <v>0</v>
      </c>
      <c r="V50" s="36">
        <v>0</v>
      </c>
      <c r="W50" s="67">
        <v>0</v>
      </c>
      <c r="X50" s="67">
        <v>0</v>
      </c>
      <c r="Y50" s="36">
        <v>0</v>
      </c>
      <c r="Z50" s="36">
        <v>493.45</v>
      </c>
      <c r="AA50" s="36">
        <v>0</v>
      </c>
      <c r="AB50" s="36">
        <v>17874.63</v>
      </c>
      <c r="AC50" s="36">
        <v>62744.81</v>
      </c>
      <c r="AD50" s="36">
        <v>6.31</v>
      </c>
      <c r="AE50" s="36">
        <v>55823.88</v>
      </c>
      <c r="AF50" s="68">
        <f t="shared" si="43"/>
        <v>8846.8906497622829</v>
      </c>
      <c r="AG50" s="68">
        <f t="shared" si="44"/>
        <v>9943.7099841521394</v>
      </c>
      <c r="AH50" s="69">
        <f t="shared" si="45"/>
        <v>1096.82</v>
      </c>
      <c r="AI50" s="36">
        <v>1.96</v>
      </c>
      <c r="AJ50" s="36">
        <v>16917.2</v>
      </c>
      <c r="AK50" s="68">
        <f t="shared" si="46"/>
        <v>8631.224489795919</v>
      </c>
      <c r="AL50" s="68">
        <f t="shared" si="47"/>
        <v>9119.7091836734708</v>
      </c>
      <c r="AM50" s="69">
        <f t="shared" si="48"/>
        <v>488.48</v>
      </c>
      <c r="AN50" s="67">
        <v>0</v>
      </c>
      <c r="AO50" s="67">
        <v>0</v>
      </c>
    </row>
    <row r="51" spans="1:41" s="3" customFormat="1" ht="15">
      <c r="A51" s="58" t="s">
        <v>672</v>
      </c>
      <c r="B51" s="58" t="s">
        <v>269</v>
      </c>
      <c r="C51" s="58" t="str">
        <f t="shared" si="50"/>
        <v>36400 COLUMBIA (WALLA) SCHOOL DISTRICT</v>
      </c>
      <c r="D51" s="36">
        <v>0</v>
      </c>
      <c r="E51" s="36">
        <v>0</v>
      </c>
      <c r="F51" s="36">
        <v>14881.33</v>
      </c>
      <c r="G51" s="36">
        <v>1232214.82</v>
      </c>
      <c r="H51" s="36">
        <v>182813.36</v>
      </c>
      <c r="I51" s="36">
        <v>234214.95</v>
      </c>
      <c r="J51" s="36">
        <v>283467.73</v>
      </c>
      <c r="K51" s="36">
        <v>245381.12</v>
      </c>
      <c r="L51" s="36">
        <v>23252.38</v>
      </c>
      <c r="M51" s="36">
        <v>462310.29</v>
      </c>
      <c r="N51" s="50">
        <v>3.5999999999999997E-2</v>
      </c>
      <c r="O51" s="53">
        <v>0.2029</v>
      </c>
      <c r="P51" s="36">
        <v>0</v>
      </c>
      <c r="Q51" s="66">
        <v>0</v>
      </c>
      <c r="R51" s="66">
        <v>0</v>
      </c>
      <c r="S51" s="67">
        <v>0</v>
      </c>
      <c r="T51" s="67">
        <v>0</v>
      </c>
      <c r="U51" s="67">
        <v>0</v>
      </c>
      <c r="V51" s="36">
        <v>0</v>
      </c>
      <c r="W51" s="67">
        <v>0</v>
      </c>
      <c r="X51" s="67">
        <v>0</v>
      </c>
      <c r="Y51" s="36">
        <v>0</v>
      </c>
      <c r="Z51" s="36">
        <v>0</v>
      </c>
      <c r="AA51" s="36">
        <v>13942.52</v>
      </c>
      <c r="AB51" s="36">
        <v>0</v>
      </c>
      <c r="AC51" s="36">
        <v>476795.98</v>
      </c>
      <c r="AD51" s="36">
        <v>51.06</v>
      </c>
      <c r="AE51" s="36">
        <v>456297.88</v>
      </c>
      <c r="AF51" s="68">
        <f t="shared" si="43"/>
        <v>8936.5037211124163</v>
      </c>
      <c r="AG51" s="68">
        <f t="shared" si="44"/>
        <v>9337.9549549549538</v>
      </c>
      <c r="AH51" s="69">
        <f t="shared" si="45"/>
        <v>401.45</v>
      </c>
      <c r="AI51" s="36">
        <v>0</v>
      </c>
      <c r="AJ51" s="36">
        <v>0</v>
      </c>
      <c r="AK51" s="68">
        <f t="shared" si="46"/>
        <v>0</v>
      </c>
      <c r="AL51" s="68">
        <f t="shared" si="47"/>
        <v>0</v>
      </c>
      <c r="AM51" s="69">
        <f t="shared" si="48"/>
        <v>0</v>
      </c>
      <c r="AN51" s="67">
        <v>0</v>
      </c>
      <c r="AO51" s="67">
        <v>0</v>
      </c>
    </row>
    <row r="52" spans="1:41" s="3" customFormat="1" ht="15">
      <c r="A52" s="58" t="s">
        <v>653</v>
      </c>
      <c r="B52" s="58" t="s">
        <v>248</v>
      </c>
      <c r="C52" s="58" t="str">
        <f t="shared" si="50"/>
        <v>33115 COLVILLE SCHOOL DISTRICT</v>
      </c>
      <c r="D52" s="36">
        <v>0</v>
      </c>
      <c r="E52" s="36">
        <v>0</v>
      </c>
      <c r="F52" s="36">
        <v>0</v>
      </c>
      <c r="G52" s="36">
        <v>3091129.21</v>
      </c>
      <c r="H52" s="36">
        <v>588998.97</v>
      </c>
      <c r="I52" s="36">
        <v>370524.74</v>
      </c>
      <c r="J52" s="36">
        <v>699342.61</v>
      </c>
      <c r="K52" s="36">
        <v>20699.71</v>
      </c>
      <c r="L52" s="36">
        <v>50736.2</v>
      </c>
      <c r="M52" s="36">
        <v>1676750.88</v>
      </c>
      <c r="N52" s="50">
        <v>3.5700000000000003E-2</v>
      </c>
      <c r="O52" s="53">
        <v>0.19059999999999999</v>
      </c>
      <c r="P52" s="36">
        <v>0</v>
      </c>
      <c r="Q52" s="66">
        <v>0</v>
      </c>
      <c r="R52" s="66">
        <v>0</v>
      </c>
      <c r="S52" s="67">
        <v>0</v>
      </c>
      <c r="T52" s="67">
        <v>0</v>
      </c>
      <c r="U52" s="67">
        <v>0</v>
      </c>
      <c r="V52" s="36">
        <v>0</v>
      </c>
      <c r="W52" s="67">
        <v>0</v>
      </c>
      <c r="X52" s="67">
        <v>0</v>
      </c>
      <c r="Y52" s="36">
        <v>0</v>
      </c>
      <c r="Z52" s="36">
        <v>0</v>
      </c>
      <c r="AA52" s="36">
        <v>0</v>
      </c>
      <c r="AB52" s="36">
        <v>149014.43</v>
      </c>
      <c r="AC52" s="36">
        <v>849806.86</v>
      </c>
      <c r="AD52" s="36">
        <v>87.19</v>
      </c>
      <c r="AE52" s="36">
        <v>786638.24</v>
      </c>
      <c r="AF52" s="68">
        <f t="shared" si="43"/>
        <v>9022.1153802041517</v>
      </c>
      <c r="AG52" s="68">
        <f t="shared" si="44"/>
        <v>9746.6092441793789</v>
      </c>
      <c r="AH52" s="69">
        <f t="shared" si="45"/>
        <v>724.49</v>
      </c>
      <c r="AI52" s="36">
        <v>15.92</v>
      </c>
      <c r="AJ52" s="36">
        <v>140241.17000000001</v>
      </c>
      <c r="AK52" s="68">
        <f t="shared" si="46"/>
        <v>8809.1187185929648</v>
      </c>
      <c r="AL52" s="68">
        <f t="shared" si="47"/>
        <v>9360.2028894472351</v>
      </c>
      <c r="AM52" s="69">
        <f t="shared" si="48"/>
        <v>551.08000000000004</v>
      </c>
      <c r="AN52" s="67">
        <v>0</v>
      </c>
      <c r="AO52" s="67">
        <v>0</v>
      </c>
    </row>
    <row r="53" spans="1:41" s="3" customFormat="1" ht="15">
      <c r="A53" s="58" t="s">
        <v>611</v>
      </c>
      <c r="B53" s="58" t="s">
        <v>205</v>
      </c>
      <c r="C53" s="58" t="str">
        <f t="shared" si="50"/>
        <v>29011 CONCRETE SCHOOL DISTRICT</v>
      </c>
      <c r="D53" s="36">
        <v>0</v>
      </c>
      <c r="E53" s="36">
        <v>17360.68</v>
      </c>
      <c r="F53" s="36">
        <v>12366.79</v>
      </c>
      <c r="G53" s="36">
        <v>942466.25</v>
      </c>
      <c r="H53" s="36">
        <v>215718.92</v>
      </c>
      <c r="I53" s="36">
        <v>160878</v>
      </c>
      <c r="J53" s="36">
        <v>235379.29</v>
      </c>
      <c r="K53" s="36">
        <v>23995.57</v>
      </c>
      <c r="L53" s="36">
        <v>16244.65</v>
      </c>
      <c r="M53" s="36">
        <v>821088.74</v>
      </c>
      <c r="N53" s="50">
        <v>5.8900000000000001E-2</v>
      </c>
      <c r="O53" s="53">
        <v>0.23150000000000001</v>
      </c>
      <c r="P53" s="36">
        <v>0</v>
      </c>
      <c r="Q53" s="66">
        <v>0</v>
      </c>
      <c r="R53" s="66">
        <v>0</v>
      </c>
      <c r="S53" s="67">
        <v>0</v>
      </c>
      <c r="T53" s="67">
        <v>0</v>
      </c>
      <c r="U53" s="67">
        <v>0</v>
      </c>
      <c r="V53" s="36">
        <v>0</v>
      </c>
      <c r="W53" s="67">
        <v>0</v>
      </c>
      <c r="X53" s="67">
        <v>0</v>
      </c>
      <c r="Y53" s="36">
        <v>0</v>
      </c>
      <c r="Z53" s="36">
        <v>3218.44</v>
      </c>
      <c r="AA53" s="36">
        <v>0</v>
      </c>
      <c r="AB53" s="36">
        <v>28638.71</v>
      </c>
      <c r="AC53" s="36">
        <v>243885.13</v>
      </c>
      <c r="AD53" s="36">
        <v>23.38</v>
      </c>
      <c r="AE53" s="36">
        <v>219550.91</v>
      </c>
      <c r="AF53" s="68">
        <f t="shared" si="43"/>
        <v>9390.5436270316513</v>
      </c>
      <c r="AG53" s="68">
        <f t="shared" si="44"/>
        <v>10431.357142857143</v>
      </c>
      <c r="AH53" s="69">
        <f t="shared" si="45"/>
        <v>1040.81</v>
      </c>
      <c r="AI53" s="36">
        <v>2.94</v>
      </c>
      <c r="AJ53" s="36">
        <v>27128.39</v>
      </c>
      <c r="AK53" s="68">
        <f t="shared" si="46"/>
        <v>9227.3435374149667</v>
      </c>
      <c r="AL53" s="68">
        <f t="shared" si="47"/>
        <v>9741.0578231292511</v>
      </c>
      <c r="AM53" s="69">
        <f t="shared" si="48"/>
        <v>513.71</v>
      </c>
      <c r="AN53" s="67">
        <v>0</v>
      </c>
      <c r="AO53" s="67">
        <v>0</v>
      </c>
    </row>
    <row r="54" spans="1:41" s="3" customFormat="1" ht="15">
      <c r="A54" s="58" t="s">
        <v>616</v>
      </c>
      <c r="B54" s="58" t="s">
        <v>210</v>
      </c>
      <c r="C54" s="58" t="str">
        <f t="shared" si="50"/>
        <v>29317 CONWAY SCHOOL DISTRICT</v>
      </c>
      <c r="D54" s="36">
        <v>0</v>
      </c>
      <c r="E54" s="36">
        <v>0</v>
      </c>
      <c r="F54" s="36">
        <v>0</v>
      </c>
      <c r="G54" s="36">
        <v>537525.54</v>
      </c>
      <c r="H54" s="36">
        <v>66256.75</v>
      </c>
      <c r="I54" s="36">
        <v>0</v>
      </c>
      <c r="J54" s="36">
        <v>89586.01</v>
      </c>
      <c r="K54" s="36">
        <v>53136.52</v>
      </c>
      <c r="L54" s="36">
        <v>14319.56</v>
      </c>
      <c r="M54" s="36">
        <v>294212.07</v>
      </c>
      <c r="N54" s="50">
        <v>1.7399999999999999E-2</v>
      </c>
      <c r="O54" s="53">
        <v>0.18820000000000001</v>
      </c>
      <c r="P54" s="36">
        <v>0</v>
      </c>
      <c r="Q54" s="66">
        <v>0</v>
      </c>
      <c r="R54" s="66">
        <v>0</v>
      </c>
      <c r="S54" s="67">
        <v>0</v>
      </c>
      <c r="T54" s="67">
        <v>0</v>
      </c>
      <c r="U54" s="67">
        <v>0</v>
      </c>
      <c r="V54" s="36">
        <v>0</v>
      </c>
      <c r="W54" s="67">
        <v>0</v>
      </c>
      <c r="X54" s="67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68">
        <f t="shared" si="43"/>
        <v>0</v>
      </c>
      <c r="AG54" s="68">
        <f t="shared" si="44"/>
        <v>0</v>
      </c>
      <c r="AH54" s="69">
        <f t="shared" si="45"/>
        <v>0</v>
      </c>
      <c r="AI54" s="36">
        <v>0</v>
      </c>
      <c r="AJ54" s="36">
        <v>0</v>
      </c>
      <c r="AK54" s="68">
        <f t="shared" si="46"/>
        <v>0</v>
      </c>
      <c r="AL54" s="68">
        <f t="shared" si="47"/>
        <v>0</v>
      </c>
      <c r="AM54" s="69">
        <f t="shared" si="48"/>
        <v>0</v>
      </c>
      <c r="AN54" s="67">
        <v>0</v>
      </c>
      <c r="AO54" s="67">
        <v>0</v>
      </c>
    </row>
    <row r="55" spans="1:41" s="3" customFormat="1" ht="15">
      <c r="A55" s="58" t="s">
        <v>495</v>
      </c>
      <c r="B55" s="58" t="s">
        <v>88</v>
      </c>
      <c r="C55" s="58" t="str">
        <f t="shared" si="50"/>
        <v>14099 COSMOPOLIS SCHOOL DISTRICT</v>
      </c>
      <c r="D55" s="36">
        <v>0</v>
      </c>
      <c r="E55" s="36">
        <v>0</v>
      </c>
      <c r="F55" s="36">
        <v>0</v>
      </c>
      <c r="G55" s="36">
        <v>237684.22</v>
      </c>
      <c r="H55" s="36">
        <v>50780.55</v>
      </c>
      <c r="I55" s="36">
        <v>0</v>
      </c>
      <c r="J55" s="36">
        <v>47894.85</v>
      </c>
      <c r="K55" s="36">
        <v>1122.83</v>
      </c>
      <c r="L55" s="36">
        <v>5090.7700000000004</v>
      </c>
      <c r="M55" s="36">
        <v>65955.62</v>
      </c>
      <c r="N55" s="50">
        <v>5.8200000000000002E-2</v>
      </c>
      <c r="O55" s="53">
        <v>0.27679999999999999</v>
      </c>
      <c r="P55" s="36">
        <v>0</v>
      </c>
      <c r="Q55" s="66">
        <v>0</v>
      </c>
      <c r="R55" s="66">
        <v>0</v>
      </c>
      <c r="S55" s="67">
        <v>0</v>
      </c>
      <c r="T55" s="67">
        <v>0</v>
      </c>
      <c r="U55" s="67">
        <v>0</v>
      </c>
      <c r="V55" s="36">
        <v>0</v>
      </c>
      <c r="W55" s="67">
        <v>0</v>
      </c>
      <c r="X55" s="67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68">
        <f t="shared" si="43"/>
        <v>0</v>
      </c>
      <c r="AG55" s="68">
        <f t="shared" si="44"/>
        <v>0</v>
      </c>
      <c r="AH55" s="69">
        <f t="shared" si="45"/>
        <v>0</v>
      </c>
      <c r="AI55" s="36">
        <v>0</v>
      </c>
      <c r="AJ55" s="36">
        <v>0</v>
      </c>
      <c r="AK55" s="68">
        <f t="shared" si="46"/>
        <v>0</v>
      </c>
      <c r="AL55" s="68">
        <f t="shared" si="47"/>
        <v>0</v>
      </c>
      <c r="AM55" s="69">
        <f t="shared" si="48"/>
        <v>0</v>
      </c>
      <c r="AN55" s="67">
        <v>0</v>
      </c>
      <c r="AO55" s="67">
        <v>0</v>
      </c>
    </row>
    <row r="56" spans="1:41" s="3" customFormat="1" ht="15">
      <c r="A56" s="58" t="s">
        <v>480</v>
      </c>
      <c r="B56" s="58" t="s">
        <v>73</v>
      </c>
      <c r="C56" s="58" t="str">
        <f t="shared" si="50"/>
        <v>13151 COULEE/HARTLINE SCHOOL DISTRICT</v>
      </c>
      <c r="D56" s="36">
        <v>0</v>
      </c>
      <c r="E56" s="36">
        <v>0</v>
      </c>
      <c r="F56" s="36">
        <v>0</v>
      </c>
      <c r="G56" s="36">
        <v>306423.18</v>
      </c>
      <c r="H56" s="36">
        <v>55047.25</v>
      </c>
      <c r="I56" s="36">
        <v>0</v>
      </c>
      <c r="J56" s="36">
        <v>60258.16</v>
      </c>
      <c r="K56" s="36">
        <v>0</v>
      </c>
      <c r="L56" s="36">
        <v>6025.82</v>
      </c>
      <c r="M56" s="36">
        <v>427318.55</v>
      </c>
      <c r="N56" s="50">
        <v>2.52E-2</v>
      </c>
      <c r="O56" s="53">
        <v>0.19689999999999999</v>
      </c>
      <c r="P56" s="36">
        <v>0</v>
      </c>
      <c r="Q56" s="66">
        <v>0</v>
      </c>
      <c r="R56" s="66">
        <v>0</v>
      </c>
      <c r="S56" s="67">
        <v>0</v>
      </c>
      <c r="T56" s="67">
        <v>0</v>
      </c>
      <c r="U56" s="67">
        <v>0</v>
      </c>
      <c r="V56" s="36">
        <v>0</v>
      </c>
      <c r="W56" s="67">
        <v>0</v>
      </c>
      <c r="X56" s="67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161904.87</v>
      </c>
      <c r="AD56" s="36">
        <v>17.600000000000001</v>
      </c>
      <c r="AE56" s="36">
        <v>155675.38</v>
      </c>
      <c r="AF56" s="68">
        <f t="shared" si="43"/>
        <v>8845.1920454545452</v>
      </c>
      <c r="AG56" s="68">
        <f t="shared" si="44"/>
        <v>9199.1403409090908</v>
      </c>
      <c r="AH56" s="69">
        <f t="shared" si="45"/>
        <v>353.95</v>
      </c>
      <c r="AI56" s="36">
        <v>0</v>
      </c>
      <c r="AJ56" s="36">
        <v>0</v>
      </c>
      <c r="AK56" s="68">
        <f t="shared" si="46"/>
        <v>0</v>
      </c>
      <c r="AL56" s="68">
        <f t="shared" si="47"/>
        <v>0</v>
      </c>
      <c r="AM56" s="69">
        <f t="shared" si="48"/>
        <v>0</v>
      </c>
      <c r="AN56" s="67">
        <v>0</v>
      </c>
      <c r="AO56" s="67">
        <v>0</v>
      </c>
    </row>
    <row r="57" spans="1:41" s="3" customFormat="1" ht="15">
      <c r="A57" s="58" t="s">
        <v>501</v>
      </c>
      <c r="B57" s="58" t="s">
        <v>94</v>
      </c>
      <c r="C57" s="58" t="str">
        <f t="shared" si="50"/>
        <v>15204 COUPEVILLE SCHOOL DISTRICT</v>
      </c>
      <c r="D57" s="36">
        <v>0</v>
      </c>
      <c r="E57" s="36">
        <v>18918.79</v>
      </c>
      <c r="F57" s="36">
        <v>0</v>
      </c>
      <c r="G57" s="36">
        <v>1904052.92</v>
      </c>
      <c r="H57" s="36">
        <v>323105.78999999998</v>
      </c>
      <c r="I57" s="36">
        <v>18880.16</v>
      </c>
      <c r="J57" s="36">
        <v>310823.38</v>
      </c>
      <c r="K57" s="36">
        <v>62977.56</v>
      </c>
      <c r="L57" s="36">
        <v>33797.82</v>
      </c>
      <c r="M57" s="36">
        <v>703668.86</v>
      </c>
      <c r="N57" s="50">
        <v>5.6500000000000002E-2</v>
      </c>
      <c r="O57" s="53">
        <v>0.23669999999999999</v>
      </c>
      <c r="P57" s="36">
        <v>0</v>
      </c>
      <c r="Q57" s="66">
        <v>0</v>
      </c>
      <c r="R57" s="66">
        <v>0</v>
      </c>
      <c r="S57" s="67">
        <v>150010.93</v>
      </c>
      <c r="T57" s="67">
        <v>0</v>
      </c>
      <c r="U57" s="67">
        <v>6332.7</v>
      </c>
      <c r="V57" s="36">
        <v>0</v>
      </c>
      <c r="W57" s="67">
        <v>0</v>
      </c>
      <c r="X57" s="67">
        <v>0</v>
      </c>
      <c r="Y57" s="36">
        <v>0</v>
      </c>
      <c r="Z57" s="36">
        <v>0</v>
      </c>
      <c r="AA57" s="36">
        <v>0</v>
      </c>
      <c r="AB57" s="36">
        <v>26530.95</v>
      </c>
      <c r="AC57" s="36">
        <v>299977.73</v>
      </c>
      <c r="AD57" s="36">
        <v>29.29</v>
      </c>
      <c r="AE57" s="36">
        <v>283234.31</v>
      </c>
      <c r="AF57" s="68">
        <f t="shared" si="43"/>
        <v>9670.0003414134517</v>
      </c>
      <c r="AG57" s="68">
        <f t="shared" si="44"/>
        <v>10241.643222942983</v>
      </c>
      <c r="AH57" s="69">
        <f t="shared" si="45"/>
        <v>571.64</v>
      </c>
      <c r="AI57" s="36">
        <v>2.64</v>
      </c>
      <c r="AJ57" s="36">
        <v>24837.43</v>
      </c>
      <c r="AK57" s="68">
        <f t="shared" si="46"/>
        <v>9408.117424242424</v>
      </c>
      <c r="AL57" s="68">
        <f t="shared" si="47"/>
        <v>10049.602272727272</v>
      </c>
      <c r="AM57" s="69">
        <f t="shared" si="48"/>
        <v>641.48</v>
      </c>
      <c r="AN57" s="67">
        <v>0</v>
      </c>
      <c r="AO57" s="67">
        <v>0</v>
      </c>
    </row>
    <row r="58" spans="1:41" s="3" customFormat="1" ht="15">
      <c r="A58" s="58" t="s">
        <v>440</v>
      </c>
      <c r="B58" s="58" t="s">
        <v>33</v>
      </c>
      <c r="C58" s="58" t="str">
        <f t="shared" si="50"/>
        <v>05313 CRESCENT SCHOOL DISTRICT</v>
      </c>
      <c r="D58" s="36">
        <v>0</v>
      </c>
      <c r="E58" s="36">
        <v>0</v>
      </c>
      <c r="F58" s="36">
        <v>0</v>
      </c>
      <c r="G58" s="36">
        <v>351881.25</v>
      </c>
      <c r="H58" s="36">
        <v>40173.68</v>
      </c>
      <c r="I58" s="36">
        <v>65764.52</v>
      </c>
      <c r="J58" s="36">
        <v>120100.75</v>
      </c>
      <c r="K58" s="36">
        <v>0</v>
      </c>
      <c r="L58" s="36">
        <v>10701.03</v>
      </c>
      <c r="M58" s="36">
        <v>216223.64</v>
      </c>
      <c r="N58" s="50">
        <v>9.1800000000000007E-2</v>
      </c>
      <c r="O58" s="53">
        <v>0.21410000000000001</v>
      </c>
      <c r="P58" s="36">
        <v>0</v>
      </c>
      <c r="Q58" s="66">
        <v>0</v>
      </c>
      <c r="R58" s="66">
        <v>0</v>
      </c>
      <c r="S58" s="67">
        <v>0</v>
      </c>
      <c r="T58" s="67">
        <v>0</v>
      </c>
      <c r="U58" s="67">
        <v>0</v>
      </c>
      <c r="V58" s="36">
        <v>0</v>
      </c>
      <c r="W58" s="67">
        <v>0</v>
      </c>
      <c r="X58" s="67">
        <v>0</v>
      </c>
      <c r="Y58" s="36">
        <v>0</v>
      </c>
      <c r="Z58" s="36">
        <v>0</v>
      </c>
      <c r="AA58" s="36">
        <v>5413.39</v>
      </c>
      <c r="AB58" s="36">
        <v>0</v>
      </c>
      <c r="AC58" s="36">
        <v>74354.97</v>
      </c>
      <c r="AD58" s="36">
        <v>3.78</v>
      </c>
      <c r="AE58" s="36">
        <v>33438.480000000003</v>
      </c>
      <c r="AF58" s="68">
        <f t="shared" si="43"/>
        <v>8846.1587301587315</v>
      </c>
      <c r="AG58" s="68">
        <f t="shared" si="44"/>
        <v>19670.626984126986</v>
      </c>
      <c r="AH58" s="69">
        <f t="shared" si="45"/>
        <v>10824.47</v>
      </c>
      <c r="AI58" s="36">
        <v>0</v>
      </c>
      <c r="AJ58" s="36">
        <v>0</v>
      </c>
      <c r="AK58" s="68">
        <f t="shared" si="46"/>
        <v>0</v>
      </c>
      <c r="AL58" s="68">
        <f t="shared" si="47"/>
        <v>0</v>
      </c>
      <c r="AM58" s="69">
        <f t="shared" si="48"/>
        <v>0</v>
      </c>
      <c r="AN58" s="67">
        <v>0</v>
      </c>
      <c r="AO58" s="67">
        <v>0</v>
      </c>
    </row>
    <row r="59" spans="1:41" s="3" customFormat="1" ht="15">
      <c r="A59" s="58" t="s">
        <v>564</v>
      </c>
      <c r="B59" s="58" t="s">
        <v>157</v>
      </c>
      <c r="C59" s="58" t="str">
        <f t="shared" si="50"/>
        <v>22073 CRESTON SCHOOL DISTRICT</v>
      </c>
      <c r="D59" s="36">
        <v>0</v>
      </c>
      <c r="E59" s="36">
        <v>0</v>
      </c>
      <c r="F59" s="36">
        <v>0</v>
      </c>
      <c r="G59" s="36">
        <v>146641.51999999999</v>
      </c>
      <c r="H59" s="36">
        <v>21702.69</v>
      </c>
      <c r="I59" s="36">
        <v>13951.43</v>
      </c>
      <c r="J59" s="36">
        <v>32553.33</v>
      </c>
      <c r="K59" s="36">
        <v>0</v>
      </c>
      <c r="L59" s="36">
        <v>2642.3</v>
      </c>
      <c r="M59" s="36">
        <v>622953.91</v>
      </c>
      <c r="N59" s="50">
        <v>7.1400000000000005E-2</v>
      </c>
      <c r="O59" s="53">
        <v>0.26800000000000002</v>
      </c>
      <c r="P59" s="36">
        <v>0</v>
      </c>
      <c r="Q59" s="66">
        <v>0</v>
      </c>
      <c r="R59" s="66">
        <v>0</v>
      </c>
      <c r="S59" s="67">
        <v>0</v>
      </c>
      <c r="T59" s="67">
        <v>0</v>
      </c>
      <c r="U59" s="67">
        <v>0</v>
      </c>
      <c r="V59" s="36">
        <v>0</v>
      </c>
      <c r="W59" s="67">
        <v>0</v>
      </c>
      <c r="X59" s="67">
        <v>0</v>
      </c>
      <c r="Y59" s="36">
        <v>0</v>
      </c>
      <c r="Z59" s="36">
        <v>0</v>
      </c>
      <c r="AA59" s="36">
        <v>1605.95</v>
      </c>
      <c r="AB59" s="36">
        <v>10765.5</v>
      </c>
      <c r="AC59" s="36">
        <v>60883.59</v>
      </c>
      <c r="AD59" s="36">
        <v>5.84</v>
      </c>
      <c r="AE59" s="36">
        <v>52121.21</v>
      </c>
      <c r="AF59" s="68">
        <f t="shared" si="43"/>
        <v>8924.8647260273974</v>
      </c>
      <c r="AG59" s="68">
        <f t="shared" si="44"/>
        <v>10425.272260273972</v>
      </c>
      <c r="AH59" s="69">
        <f t="shared" si="45"/>
        <v>1500.41</v>
      </c>
      <c r="AI59" s="36">
        <v>1.1599999999999999</v>
      </c>
      <c r="AJ59" s="36">
        <v>10118.15</v>
      </c>
      <c r="AK59" s="68">
        <f t="shared" si="46"/>
        <v>8722.5431034482754</v>
      </c>
      <c r="AL59" s="68">
        <f t="shared" si="47"/>
        <v>9280.6034482758623</v>
      </c>
      <c r="AM59" s="69">
        <f t="shared" si="48"/>
        <v>558.05999999999995</v>
      </c>
      <c r="AN59" s="67">
        <v>0</v>
      </c>
      <c r="AO59" s="67">
        <v>0</v>
      </c>
    </row>
    <row r="60" spans="1:41" s="3" customFormat="1" ht="15">
      <c r="A60" s="58" t="s">
        <v>468</v>
      </c>
      <c r="B60" s="58" t="s">
        <v>61</v>
      </c>
      <c r="C60" s="58" t="str">
        <f t="shared" si="50"/>
        <v>10050 CURLEW SCHOOL DISTRICT</v>
      </c>
      <c r="D60" s="36">
        <v>0</v>
      </c>
      <c r="E60" s="36">
        <v>0</v>
      </c>
      <c r="F60" s="36">
        <v>0</v>
      </c>
      <c r="G60" s="36">
        <v>385280.59</v>
      </c>
      <c r="H60" s="36">
        <v>37716.11</v>
      </c>
      <c r="I60" s="36">
        <v>60456.2</v>
      </c>
      <c r="J60" s="36">
        <v>95863.25</v>
      </c>
      <c r="K60" s="36">
        <v>0</v>
      </c>
      <c r="L60" s="36">
        <v>0</v>
      </c>
      <c r="M60" s="36">
        <v>292426.96000000002</v>
      </c>
      <c r="N60" s="50">
        <v>7.7399999999999997E-2</v>
      </c>
      <c r="O60" s="53">
        <v>0.32990000000000003</v>
      </c>
      <c r="P60" s="36">
        <v>0</v>
      </c>
      <c r="Q60" s="66">
        <v>0</v>
      </c>
      <c r="R60" s="66">
        <v>0</v>
      </c>
      <c r="S60" s="67">
        <v>0</v>
      </c>
      <c r="T60" s="67">
        <v>0</v>
      </c>
      <c r="U60" s="67">
        <v>0</v>
      </c>
      <c r="V60" s="36">
        <v>0</v>
      </c>
      <c r="W60" s="67">
        <v>0</v>
      </c>
      <c r="X60" s="67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74263.8</v>
      </c>
      <c r="AD60" s="36">
        <v>6.7</v>
      </c>
      <c r="AE60" s="36">
        <v>59902.879999999997</v>
      </c>
      <c r="AF60" s="68">
        <f t="shared" si="43"/>
        <v>8940.7283582089549</v>
      </c>
      <c r="AG60" s="68">
        <f t="shared" si="44"/>
        <v>11084.149253731344</v>
      </c>
      <c r="AH60" s="69">
        <f t="shared" si="45"/>
        <v>2143.42</v>
      </c>
      <c r="AI60" s="36">
        <v>0</v>
      </c>
      <c r="AJ60" s="36">
        <v>0</v>
      </c>
      <c r="AK60" s="68">
        <f t="shared" si="46"/>
        <v>0</v>
      </c>
      <c r="AL60" s="68">
        <f t="shared" si="47"/>
        <v>0</v>
      </c>
      <c r="AM60" s="69">
        <f t="shared" si="48"/>
        <v>0</v>
      </c>
      <c r="AN60" s="67">
        <v>500</v>
      </c>
      <c r="AO60" s="67">
        <v>0</v>
      </c>
    </row>
    <row r="61" spans="1:41" s="3" customFormat="1" ht="15">
      <c r="A61" s="58" t="s">
        <v>590</v>
      </c>
      <c r="B61" s="58" t="s">
        <v>184</v>
      </c>
      <c r="C61" s="58" t="str">
        <f t="shared" si="50"/>
        <v>26059 CUSICK SCHOOL DISTRICT</v>
      </c>
      <c r="D61" s="36">
        <v>46796.05</v>
      </c>
      <c r="E61" s="36">
        <v>2383.0700000000002</v>
      </c>
      <c r="F61" s="36">
        <v>7303.51</v>
      </c>
      <c r="G61" s="36">
        <v>541211.93000000005</v>
      </c>
      <c r="H61" s="36">
        <v>84083.13</v>
      </c>
      <c r="I61" s="36">
        <v>76361.649999999994</v>
      </c>
      <c r="J61" s="36">
        <v>168099.51</v>
      </c>
      <c r="K61" s="36">
        <v>0</v>
      </c>
      <c r="L61" s="36">
        <v>10701.03</v>
      </c>
      <c r="M61" s="36">
        <v>293317.37</v>
      </c>
      <c r="N61" s="50">
        <v>3.9199999999999999E-2</v>
      </c>
      <c r="O61" s="53">
        <v>0.22789999999999999</v>
      </c>
      <c r="P61" s="36">
        <v>0</v>
      </c>
      <c r="Q61" s="66">
        <v>0</v>
      </c>
      <c r="R61" s="66">
        <v>0</v>
      </c>
      <c r="S61" s="67">
        <v>0</v>
      </c>
      <c r="T61" s="67">
        <v>0</v>
      </c>
      <c r="U61" s="67">
        <v>0</v>
      </c>
      <c r="V61" s="36">
        <v>0</v>
      </c>
      <c r="W61" s="67">
        <v>0</v>
      </c>
      <c r="X61" s="67">
        <v>0</v>
      </c>
      <c r="Y61" s="36">
        <v>0</v>
      </c>
      <c r="Z61" s="36">
        <v>0</v>
      </c>
      <c r="AA61" s="36">
        <v>3720.99</v>
      </c>
      <c r="AB61" s="36">
        <v>0</v>
      </c>
      <c r="AC61" s="36">
        <v>57857.01</v>
      </c>
      <c r="AD61" s="36">
        <v>6.26</v>
      </c>
      <c r="AE61" s="36">
        <v>55444.78</v>
      </c>
      <c r="AF61" s="68">
        <f t="shared" si="43"/>
        <v>8856.9936102236425</v>
      </c>
      <c r="AG61" s="68">
        <f t="shared" si="44"/>
        <v>9242.3338658146968</v>
      </c>
      <c r="AH61" s="69">
        <f t="shared" si="45"/>
        <v>385.34</v>
      </c>
      <c r="AI61" s="36">
        <v>0</v>
      </c>
      <c r="AJ61" s="36">
        <v>0</v>
      </c>
      <c r="AK61" s="68">
        <f t="shared" si="46"/>
        <v>0</v>
      </c>
      <c r="AL61" s="68">
        <f t="shared" si="47"/>
        <v>0</v>
      </c>
      <c r="AM61" s="69">
        <f t="shared" si="48"/>
        <v>0</v>
      </c>
      <c r="AN61" s="67">
        <v>0</v>
      </c>
      <c r="AO61" s="67">
        <v>0</v>
      </c>
    </row>
    <row r="62" spans="1:41" s="3" customFormat="1" ht="15">
      <c r="A62" s="58" t="s">
        <v>532</v>
      </c>
      <c r="B62" s="58" t="s">
        <v>125</v>
      </c>
      <c r="C62" s="58" t="str">
        <f t="shared" si="50"/>
        <v>19007 DAMMAN SCHOOL DISTRICT</v>
      </c>
      <c r="D62" s="36">
        <v>0</v>
      </c>
      <c r="E62" s="36">
        <v>0</v>
      </c>
      <c r="F62" s="36">
        <v>0</v>
      </c>
      <c r="G62" s="36">
        <v>70331.95</v>
      </c>
      <c r="H62" s="36">
        <v>4819.2299999999996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50">
        <v>2.4199999999999999E-2</v>
      </c>
      <c r="O62" s="53">
        <v>0.28799999999999998</v>
      </c>
      <c r="P62" s="36">
        <v>0</v>
      </c>
      <c r="Q62" s="66">
        <v>0</v>
      </c>
      <c r="R62" s="66">
        <v>0</v>
      </c>
      <c r="S62" s="67">
        <v>0</v>
      </c>
      <c r="T62" s="67">
        <v>0</v>
      </c>
      <c r="U62" s="67">
        <v>0</v>
      </c>
      <c r="V62" s="36">
        <v>0</v>
      </c>
      <c r="W62" s="67">
        <v>0</v>
      </c>
      <c r="X62" s="67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68">
        <f t="shared" si="43"/>
        <v>0</v>
      </c>
      <c r="AG62" s="68">
        <f t="shared" si="44"/>
        <v>0</v>
      </c>
      <c r="AH62" s="69">
        <f t="shared" si="45"/>
        <v>0</v>
      </c>
      <c r="AI62" s="36">
        <v>0</v>
      </c>
      <c r="AJ62" s="36">
        <v>0</v>
      </c>
      <c r="AK62" s="68">
        <f t="shared" si="46"/>
        <v>0</v>
      </c>
      <c r="AL62" s="68">
        <f t="shared" si="47"/>
        <v>0</v>
      </c>
      <c r="AM62" s="69">
        <f t="shared" si="48"/>
        <v>0</v>
      </c>
      <c r="AN62" s="67">
        <v>0</v>
      </c>
      <c r="AO62" s="67">
        <v>0</v>
      </c>
    </row>
    <row r="63" spans="1:41" s="3" customFormat="1" ht="15">
      <c r="A63" s="58" t="s">
        <v>633</v>
      </c>
      <c r="B63" s="58" t="s">
        <v>227</v>
      </c>
      <c r="C63" s="58" t="str">
        <f t="shared" si="50"/>
        <v>31330 DARRINGTON SCHOOL DISTRICT</v>
      </c>
      <c r="D63" s="36">
        <v>0</v>
      </c>
      <c r="E63" s="36">
        <v>6725.34</v>
      </c>
      <c r="F63" s="36">
        <v>0</v>
      </c>
      <c r="G63" s="36">
        <v>803907.87</v>
      </c>
      <c r="H63" s="36">
        <v>100337.28</v>
      </c>
      <c r="I63" s="36">
        <v>102467.2</v>
      </c>
      <c r="J63" s="36">
        <v>164314.72</v>
      </c>
      <c r="K63" s="36">
        <v>0</v>
      </c>
      <c r="L63" s="36">
        <v>14113.62</v>
      </c>
      <c r="M63" s="36">
        <v>378375.25</v>
      </c>
      <c r="N63" s="50">
        <v>4.5100000000000001E-2</v>
      </c>
      <c r="O63" s="53">
        <v>0.24379999999999999</v>
      </c>
      <c r="P63" s="36">
        <v>0</v>
      </c>
      <c r="Q63" s="66">
        <v>0</v>
      </c>
      <c r="R63" s="66">
        <v>0</v>
      </c>
      <c r="S63" s="67">
        <v>0</v>
      </c>
      <c r="T63" s="67">
        <v>0</v>
      </c>
      <c r="U63" s="67">
        <v>0</v>
      </c>
      <c r="V63" s="36">
        <v>0</v>
      </c>
      <c r="W63" s="67">
        <v>0</v>
      </c>
      <c r="X63" s="67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171613.59</v>
      </c>
      <c r="AD63" s="36">
        <v>17.27</v>
      </c>
      <c r="AE63" s="36">
        <v>165364.85</v>
      </c>
      <c r="AF63" s="68">
        <f t="shared" si="43"/>
        <v>9575.266357845976</v>
      </c>
      <c r="AG63" s="68">
        <f t="shared" si="44"/>
        <v>9937.0926462072966</v>
      </c>
      <c r="AH63" s="69">
        <f t="shared" si="45"/>
        <v>361.83</v>
      </c>
      <c r="AI63" s="36">
        <v>0</v>
      </c>
      <c r="AJ63" s="36">
        <v>0</v>
      </c>
      <c r="AK63" s="68">
        <f t="shared" si="46"/>
        <v>0</v>
      </c>
      <c r="AL63" s="68">
        <f t="shared" si="47"/>
        <v>0</v>
      </c>
      <c r="AM63" s="69">
        <f t="shared" si="48"/>
        <v>0</v>
      </c>
      <c r="AN63" s="67">
        <v>0</v>
      </c>
      <c r="AO63" s="67">
        <v>0</v>
      </c>
    </row>
    <row r="64" spans="1:41" s="3" customFormat="1" ht="15">
      <c r="A64" s="58" t="s">
        <v>568</v>
      </c>
      <c r="B64" s="58" t="s">
        <v>161</v>
      </c>
      <c r="C64" s="58" t="str">
        <f t="shared" si="50"/>
        <v>22207 DAVENPORT SCHOOL DISTRICT</v>
      </c>
      <c r="D64" s="36">
        <v>0</v>
      </c>
      <c r="E64" s="36">
        <v>0</v>
      </c>
      <c r="F64" s="36">
        <v>0</v>
      </c>
      <c r="G64" s="36">
        <v>930932.21</v>
      </c>
      <c r="H64" s="36">
        <v>113966.15</v>
      </c>
      <c r="I64" s="36">
        <v>0</v>
      </c>
      <c r="J64" s="36">
        <v>205812.8</v>
      </c>
      <c r="K64" s="36">
        <v>0</v>
      </c>
      <c r="L64" s="36">
        <v>0</v>
      </c>
      <c r="M64" s="36">
        <v>529201.69999999995</v>
      </c>
      <c r="N64" s="50">
        <v>3.4099999999999998E-2</v>
      </c>
      <c r="O64" s="53">
        <v>0.20369999999999999</v>
      </c>
      <c r="P64" s="36">
        <v>0</v>
      </c>
      <c r="Q64" s="66">
        <v>0</v>
      </c>
      <c r="R64" s="66">
        <v>0</v>
      </c>
      <c r="S64" s="67">
        <v>0</v>
      </c>
      <c r="T64" s="67">
        <v>0</v>
      </c>
      <c r="U64" s="67">
        <v>0</v>
      </c>
      <c r="V64" s="36">
        <v>0</v>
      </c>
      <c r="W64" s="67">
        <v>0</v>
      </c>
      <c r="X64" s="67">
        <v>0</v>
      </c>
      <c r="Y64" s="36">
        <v>0</v>
      </c>
      <c r="Z64" s="36">
        <v>20353.650000000001</v>
      </c>
      <c r="AA64" s="36">
        <v>6591.21</v>
      </c>
      <c r="AB64" s="36">
        <v>258706.24</v>
      </c>
      <c r="AC64" s="36">
        <v>457081.29</v>
      </c>
      <c r="AD64" s="36">
        <v>49.86</v>
      </c>
      <c r="AE64" s="36">
        <v>441220.97</v>
      </c>
      <c r="AF64" s="68">
        <f t="shared" si="43"/>
        <v>8849.197152025672</v>
      </c>
      <c r="AG64" s="68">
        <f t="shared" si="44"/>
        <v>9167.2942238267151</v>
      </c>
      <c r="AH64" s="69">
        <f t="shared" si="45"/>
        <v>318.10000000000002</v>
      </c>
      <c r="AI64" s="36">
        <v>28.21</v>
      </c>
      <c r="AJ64" s="36">
        <v>243455.07</v>
      </c>
      <c r="AK64" s="68">
        <f t="shared" si="46"/>
        <v>8630.0981921304501</v>
      </c>
      <c r="AL64" s="68">
        <f t="shared" si="47"/>
        <v>9170.7281105990769</v>
      </c>
      <c r="AM64" s="69">
        <f t="shared" si="48"/>
        <v>540.63</v>
      </c>
      <c r="AN64" s="67">
        <v>0</v>
      </c>
      <c r="AO64" s="67">
        <v>0</v>
      </c>
    </row>
    <row r="65" spans="1:41" s="3" customFormat="1" ht="15">
      <c r="A65" s="58" t="s">
        <v>453</v>
      </c>
      <c r="B65" s="58" t="s">
        <v>46</v>
      </c>
      <c r="C65" s="58" t="str">
        <f t="shared" si="50"/>
        <v>07002 DAYTON SCHOOL DISTRICT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112544.07</v>
      </c>
      <c r="J65" s="36">
        <v>130817.7</v>
      </c>
      <c r="K65" s="36">
        <v>1372.93</v>
      </c>
      <c r="L65" s="36">
        <v>10641.71</v>
      </c>
      <c r="M65" s="36">
        <v>343809.49</v>
      </c>
      <c r="N65" s="50">
        <v>4.7600000000000003E-2</v>
      </c>
      <c r="O65" s="53">
        <v>0.25600000000000001</v>
      </c>
      <c r="P65" s="36">
        <v>0</v>
      </c>
      <c r="Q65" s="66">
        <v>0</v>
      </c>
      <c r="R65" s="66">
        <v>0</v>
      </c>
      <c r="S65" s="67">
        <v>0</v>
      </c>
      <c r="T65" s="67">
        <v>0</v>
      </c>
      <c r="U65" s="67">
        <v>0</v>
      </c>
      <c r="V65" s="36">
        <v>0</v>
      </c>
      <c r="W65" s="67">
        <v>0</v>
      </c>
      <c r="X65" s="67">
        <v>0</v>
      </c>
      <c r="Y65" s="36">
        <v>0</v>
      </c>
      <c r="Z65" s="36">
        <v>0</v>
      </c>
      <c r="AA65" s="36">
        <v>0</v>
      </c>
      <c r="AB65" s="36">
        <v>25994.37</v>
      </c>
      <c r="AC65" s="36">
        <v>167503.79999999999</v>
      </c>
      <c r="AD65" s="36">
        <v>16.600000000000001</v>
      </c>
      <c r="AE65" s="36">
        <v>149818.88</v>
      </c>
      <c r="AF65" s="68">
        <f t="shared" si="43"/>
        <v>9025.2337349397585</v>
      </c>
      <c r="AG65" s="68">
        <f t="shared" si="44"/>
        <v>10090.590361445782</v>
      </c>
      <c r="AH65" s="69">
        <f t="shared" si="45"/>
        <v>1065.3599999999999</v>
      </c>
      <c r="AI65" s="36">
        <v>2.78</v>
      </c>
      <c r="AJ65" s="36">
        <v>24438.01</v>
      </c>
      <c r="AK65" s="68">
        <f t="shared" si="46"/>
        <v>8790.6510791366909</v>
      </c>
      <c r="AL65" s="68">
        <f t="shared" si="47"/>
        <v>9350.4928057553952</v>
      </c>
      <c r="AM65" s="69">
        <f t="shared" si="48"/>
        <v>559.84</v>
      </c>
      <c r="AN65" s="67">
        <v>3400</v>
      </c>
      <c r="AO65" s="67">
        <v>0</v>
      </c>
    </row>
    <row r="66" spans="1:41" s="3" customFormat="1" ht="15">
      <c r="A66" s="58" t="s">
        <v>647</v>
      </c>
      <c r="B66" s="58" t="s">
        <v>242</v>
      </c>
      <c r="C66" s="58" t="str">
        <f t="shared" si="50"/>
        <v>32414 DEER PARK SCHOOL DISTRICT</v>
      </c>
      <c r="D66" s="36">
        <v>0</v>
      </c>
      <c r="E66" s="36">
        <v>79883.429999999993</v>
      </c>
      <c r="F66" s="36">
        <v>0</v>
      </c>
      <c r="G66" s="36">
        <v>3733871.1</v>
      </c>
      <c r="H66" s="36">
        <v>571420.34</v>
      </c>
      <c r="I66" s="36">
        <v>414430.74</v>
      </c>
      <c r="J66" s="36">
        <v>904495.84</v>
      </c>
      <c r="K66" s="36">
        <v>55120.639999999999</v>
      </c>
      <c r="L66" s="36">
        <v>79166.77</v>
      </c>
      <c r="M66" s="36">
        <v>1729517</v>
      </c>
      <c r="N66" s="50">
        <v>4.7E-2</v>
      </c>
      <c r="O66" s="53">
        <v>0.1837</v>
      </c>
      <c r="P66" s="36">
        <v>0</v>
      </c>
      <c r="Q66" s="66">
        <v>0</v>
      </c>
      <c r="R66" s="66">
        <v>0</v>
      </c>
      <c r="S66" s="67">
        <v>0</v>
      </c>
      <c r="T66" s="67">
        <v>0</v>
      </c>
      <c r="U66" s="67">
        <v>0</v>
      </c>
      <c r="V66" s="36">
        <v>0</v>
      </c>
      <c r="W66" s="67">
        <v>0</v>
      </c>
      <c r="X66" s="67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1118578.6499999999</v>
      </c>
      <c r="AD66" s="36">
        <v>106.9</v>
      </c>
      <c r="AE66" s="36">
        <v>945654.74</v>
      </c>
      <c r="AF66" s="68">
        <f t="shared" si="43"/>
        <v>8846.162207670719</v>
      </c>
      <c r="AG66" s="68">
        <f t="shared" si="44"/>
        <v>10463.785313376986</v>
      </c>
      <c r="AH66" s="69">
        <f t="shared" si="45"/>
        <v>1617.62</v>
      </c>
      <c r="AI66" s="36">
        <v>0</v>
      </c>
      <c r="AJ66" s="36">
        <v>0</v>
      </c>
      <c r="AK66" s="68">
        <f t="shared" si="46"/>
        <v>0</v>
      </c>
      <c r="AL66" s="68">
        <f t="shared" si="47"/>
        <v>0</v>
      </c>
      <c r="AM66" s="69">
        <f t="shared" si="48"/>
        <v>0</v>
      </c>
      <c r="AN66" s="67">
        <v>0</v>
      </c>
      <c r="AO66" s="67">
        <v>0</v>
      </c>
    </row>
    <row r="67" spans="1:41" s="3" customFormat="1" ht="15">
      <c r="A67" s="58" t="s">
        <v>598</v>
      </c>
      <c r="B67" s="58" t="s">
        <v>192</v>
      </c>
      <c r="C67" s="58" t="str">
        <f t="shared" si="50"/>
        <v>27343 DIERINGER SCHOOL DISTRICT</v>
      </c>
      <c r="D67" s="36">
        <v>0</v>
      </c>
      <c r="E67" s="36">
        <v>0</v>
      </c>
      <c r="F67" s="36">
        <v>0</v>
      </c>
      <c r="G67" s="36">
        <v>2163729.83</v>
      </c>
      <c r="H67" s="36">
        <v>498502.35</v>
      </c>
      <c r="I67" s="36">
        <v>0</v>
      </c>
      <c r="J67" s="36">
        <v>217870.33</v>
      </c>
      <c r="K67" s="36">
        <v>174990.06</v>
      </c>
      <c r="L67" s="36">
        <v>47692.4</v>
      </c>
      <c r="M67" s="36">
        <v>1677856.81</v>
      </c>
      <c r="N67" s="50">
        <v>1.35E-2</v>
      </c>
      <c r="O67" s="53">
        <v>0.1646</v>
      </c>
      <c r="P67" s="36">
        <v>0</v>
      </c>
      <c r="Q67" s="66">
        <v>0</v>
      </c>
      <c r="R67" s="66">
        <v>0</v>
      </c>
      <c r="S67" s="67">
        <v>0</v>
      </c>
      <c r="T67" s="67">
        <v>0</v>
      </c>
      <c r="U67" s="67">
        <v>0</v>
      </c>
      <c r="V67" s="36">
        <v>0</v>
      </c>
      <c r="W67" s="67">
        <v>0</v>
      </c>
      <c r="X67" s="67">
        <v>0</v>
      </c>
      <c r="Y67" s="36">
        <v>0</v>
      </c>
      <c r="Z67" s="36">
        <v>0</v>
      </c>
      <c r="AA67" s="36">
        <v>0</v>
      </c>
      <c r="AB67" s="36">
        <v>860937.92</v>
      </c>
      <c r="AC67" s="36">
        <v>0</v>
      </c>
      <c r="AD67" s="36">
        <v>0</v>
      </c>
      <c r="AE67" s="36">
        <v>0</v>
      </c>
      <c r="AF67" s="68">
        <f t="shared" si="43"/>
        <v>0</v>
      </c>
      <c r="AG67" s="68">
        <f t="shared" si="44"/>
        <v>0</v>
      </c>
      <c r="AH67" s="69">
        <f t="shared" si="45"/>
        <v>0</v>
      </c>
      <c r="AI67" s="36">
        <v>85</v>
      </c>
      <c r="AJ67" s="36">
        <v>810111.43</v>
      </c>
      <c r="AK67" s="68">
        <f t="shared" si="46"/>
        <v>9530.7227058823537</v>
      </c>
      <c r="AL67" s="68">
        <f t="shared" si="47"/>
        <v>10128.681411764706</v>
      </c>
      <c r="AM67" s="69">
        <f t="shared" si="48"/>
        <v>597.96</v>
      </c>
      <c r="AN67" s="67">
        <v>0</v>
      </c>
      <c r="AO67" s="67">
        <v>0</v>
      </c>
    </row>
    <row r="68" spans="1:41" s="3" customFormat="1" ht="15">
      <c r="A68" s="58" t="s">
        <v>668</v>
      </c>
      <c r="B68" s="58" t="s">
        <v>265</v>
      </c>
      <c r="C68" s="58" t="str">
        <f t="shared" si="50"/>
        <v>36101 DIXIE SCHOOL DISTRICT</v>
      </c>
      <c r="D68" s="36">
        <v>0</v>
      </c>
      <c r="E68" s="36">
        <v>0</v>
      </c>
      <c r="F68" s="36">
        <v>527.59</v>
      </c>
      <c r="G68" s="36">
        <v>0</v>
      </c>
      <c r="H68" s="36">
        <v>0</v>
      </c>
      <c r="I68" s="36">
        <v>5374.6</v>
      </c>
      <c r="J68" s="36">
        <v>9029.32</v>
      </c>
      <c r="K68" s="36">
        <v>0</v>
      </c>
      <c r="L68" s="36">
        <v>0</v>
      </c>
      <c r="M68" s="36">
        <v>109525.83</v>
      </c>
      <c r="N68" s="50">
        <v>7.0199999999999999E-2</v>
      </c>
      <c r="O68" s="53">
        <v>0.40489999999999998</v>
      </c>
      <c r="P68" s="36">
        <v>0</v>
      </c>
      <c r="Q68" s="66">
        <v>0</v>
      </c>
      <c r="R68" s="66">
        <v>0</v>
      </c>
      <c r="S68" s="67">
        <v>0</v>
      </c>
      <c r="T68" s="67">
        <v>0</v>
      </c>
      <c r="U68" s="67">
        <v>0</v>
      </c>
      <c r="V68" s="36">
        <v>0</v>
      </c>
      <c r="W68" s="67">
        <v>0</v>
      </c>
      <c r="X68" s="67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68">
        <f t="shared" si="43"/>
        <v>0</v>
      </c>
      <c r="AG68" s="68">
        <f t="shared" si="44"/>
        <v>0</v>
      </c>
      <c r="AH68" s="69">
        <f t="shared" si="45"/>
        <v>0</v>
      </c>
      <c r="AI68" s="36">
        <v>0</v>
      </c>
      <c r="AJ68" s="36">
        <v>0</v>
      </c>
      <c r="AK68" s="68">
        <f t="shared" si="46"/>
        <v>0</v>
      </c>
      <c r="AL68" s="68">
        <f t="shared" si="47"/>
        <v>0</v>
      </c>
      <c r="AM68" s="69">
        <f t="shared" si="48"/>
        <v>0</v>
      </c>
      <c r="AN68" s="67">
        <v>0</v>
      </c>
      <c r="AO68" s="67">
        <v>0</v>
      </c>
    </row>
    <row r="69" spans="1:41" s="3" customFormat="1" ht="15">
      <c r="A69" s="58" t="s">
        <v>645</v>
      </c>
      <c r="B69" s="58" t="s">
        <v>239</v>
      </c>
      <c r="C69" s="58" t="str">
        <f t="shared" si="50"/>
        <v>32361 EAST VALLEY SCHOOL DISTRICT</v>
      </c>
      <c r="D69" s="36">
        <v>0</v>
      </c>
      <c r="E69" s="36">
        <v>0</v>
      </c>
      <c r="F69" s="36">
        <v>17535.009999999998</v>
      </c>
      <c r="G69" s="36">
        <v>6360286.8600000003</v>
      </c>
      <c r="H69" s="36">
        <v>1394004.74</v>
      </c>
      <c r="I69" s="36">
        <v>913896.54</v>
      </c>
      <c r="J69" s="36">
        <v>1469199.95</v>
      </c>
      <c r="K69" s="36">
        <v>270680.56</v>
      </c>
      <c r="L69" s="36">
        <v>106309.55</v>
      </c>
      <c r="M69" s="36">
        <v>2692873.5</v>
      </c>
      <c r="N69" s="50">
        <v>3.49E-2</v>
      </c>
      <c r="O69" s="53">
        <v>0.16980000000000001</v>
      </c>
      <c r="P69" s="36">
        <v>0</v>
      </c>
      <c r="Q69" s="66">
        <v>0</v>
      </c>
      <c r="R69" s="66">
        <v>0</v>
      </c>
      <c r="S69" s="67">
        <v>0</v>
      </c>
      <c r="T69" s="67">
        <v>0</v>
      </c>
      <c r="U69" s="67">
        <v>0</v>
      </c>
      <c r="V69" s="36">
        <v>0</v>
      </c>
      <c r="W69" s="67">
        <v>0</v>
      </c>
      <c r="X69" s="67">
        <v>0</v>
      </c>
      <c r="Y69" s="36">
        <v>0</v>
      </c>
      <c r="Z69" s="36">
        <v>9418.41</v>
      </c>
      <c r="AA69" s="36">
        <v>0</v>
      </c>
      <c r="AB69" s="36">
        <v>240812.74</v>
      </c>
      <c r="AC69" s="36">
        <v>1946516.06</v>
      </c>
      <c r="AD69" s="36">
        <v>197.95</v>
      </c>
      <c r="AE69" s="36">
        <v>1785971.46</v>
      </c>
      <c r="AF69" s="68">
        <f t="shared" si="43"/>
        <v>9022.336246526902</v>
      </c>
      <c r="AG69" s="68">
        <f t="shared" si="44"/>
        <v>9833.372366759284</v>
      </c>
      <c r="AH69" s="69">
        <f t="shared" si="45"/>
        <v>811.04</v>
      </c>
      <c r="AI69" s="36">
        <v>25.72</v>
      </c>
      <c r="AJ69" s="36">
        <v>226515.15</v>
      </c>
      <c r="AK69" s="68">
        <f t="shared" si="46"/>
        <v>8806.9653965785383</v>
      </c>
      <c r="AL69" s="68">
        <f t="shared" si="47"/>
        <v>9362.8592534992222</v>
      </c>
      <c r="AM69" s="69">
        <f t="shared" si="48"/>
        <v>555.89</v>
      </c>
      <c r="AN69" s="67">
        <v>0</v>
      </c>
      <c r="AO69" s="67">
        <v>0</v>
      </c>
    </row>
    <row r="70" spans="1:41" s="3" customFormat="1" ht="15">
      <c r="A70" s="58" t="s">
        <v>782</v>
      </c>
      <c r="B70" s="58" t="s">
        <v>295</v>
      </c>
      <c r="C70" s="58" t="str">
        <f t="shared" si="50"/>
        <v>39090 EAST VALLEY (YAKIMA) SCHOOL DISTRICT</v>
      </c>
      <c r="D70" s="36">
        <v>0</v>
      </c>
      <c r="E70" s="36">
        <v>0</v>
      </c>
      <c r="F70" s="36">
        <v>77259.960000000006</v>
      </c>
      <c r="G70" s="36">
        <v>4841001.96</v>
      </c>
      <c r="H70" s="36">
        <v>766621.47</v>
      </c>
      <c r="I70" s="36">
        <v>1023453.78</v>
      </c>
      <c r="J70" s="36">
        <v>1355912.64</v>
      </c>
      <c r="K70" s="36">
        <v>703910.96</v>
      </c>
      <c r="L70" s="36">
        <v>99010.41</v>
      </c>
      <c r="M70" s="36">
        <v>2039697.63</v>
      </c>
      <c r="N70" s="50">
        <v>4.1399999999999999E-2</v>
      </c>
      <c r="O70" s="53">
        <v>0.15659999999999999</v>
      </c>
      <c r="P70" s="36">
        <v>0</v>
      </c>
      <c r="Q70" s="66">
        <v>0</v>
      </c>
      <c r="R70" s="66">
        <v>0</v>
      </c>
      <c r="S70" s="67">
        <v>0</v>
      </c>
      <c r="T70" s="67">
        <v>0</v>
      </c>
      <c r="U70" s="67">
        <v>0</v>
      </c>
      <c r="V70" s="36">
        <v>0</v>
      </c>
      <c r="W70" s="67">
        <v>0</v>
      </c>
      <c r="X70" s="67">
        <v>0</v>
      </c>
      <c r="Y70" s="36">
        <v>0</v>
      </c>
      <c r="Z70" s="36">
        <v>21645.49</v>
      </c>
      <c r="AA70" s="36">
        <v>133574.22</v>
      </c>
      <c r="AB70" s="36">
        <v>187981.18</v>
      </c>
      <c r="AC70" s="36">
        <v>1847004.06</v>
      </c>
      <c r="AD70" s="36">
        <v>195.11</v>
      </c>
      <c r="AE70" s="36">
        <v>1726299.86</v>
      </c>
      <c r="AF70" s="68">
        <f t="shared" si="43"/>
        <v>8847.8287120086097</v>
      </c>
      <c r="AG70" s="68">
        <f t="shared" si="44"/>
        <v>9466.4756291322847</v>
      </c>
      <c r="AH70" s="69">
        <f t="shared" si="45"/>
        <v>618.65</v>
      </c>
      <c r="AI70" s="36">
        <v>20.49</v>
      </c>
      <c r="AJ70" s="36">
        <v>176822.28</v>
      </c>
      <c r="AK70" s="68">
        <f t="shared" si="46"/>
        <v>8629.6866764275255</v>
      </c>
      <c r="AL70" s="68">
        <f t="shared" si="47"/>
        <v>9174.2889214250863</v>
      </c>
      <c r="AM70" s="69">
        <f t="shared" si="48"/>
        <v>544.6</v>
      </c>
      <c r="AN70" s="67">
        <v>0</v>
      </c>
      <c r="AO70" s="67">
        <v>0</v>
      </c>
    </row>
    <row r="71" spans="1:41" s="3" customFormat="1" ht="15">
      <c r="A71" s="58" t="s">
        <v>464</v>
      </c>
      <c r="B71" s="58" t="s">
        <v>57</v>
      </c>
      <c r="C71" s="58" t="str">
        <f t="shared" si="50"/>
        <v>09206 EASTMONT SCHOOL DISTRICT</v>
      </c>
      <c r="D71" s="36">
        <v>0</v>
      </c>
      <c r="E71" s="36">
        <v>221631.04</v>
      </c>
      <c r="F71" s="36">
        <v>131230.93</v>
      </c>
      <c r="G71" s="36">
        <v>8019399.0700000003</v>
      </c>
      <c r="H71" s="36">
        <v>1241906.43</v>
      </c>
      <c r="I71" s="36">
        <v>1604010.06</v>
      </c>
      <c r="J71" s="36">
        <v>2556920.23</v>
      </c>
      <c r="K71" s="36">
        <v>1846745.53</v>
      </c>
      <c r="L71" s="36">
        <v>175060.37</v>
      </c>
      <c r="M71" s="36">
        <v>2542487.3199999998</v>
      </c>
      <c r="N71" s="50">
        <v>3.7199999999999997E-2</v>
      </c>
      <c r="O71" s="53">
        <v>0.1421</v>
      </c>
      <c r="P71" s="36">
        <v>0</v>
      </c>
      <c r="Q71" s="66">
        <v>0</v>
      </c>
      <c r="R71" s="66">
        <v>0</v>
      </c>
      <c r="S71" s="67">
        <v>155336.21</v>
      </c>
      <c r="T71" s="67">
        <v>14224.135000000002</v>
      </c>
      <c r="U71" s="67">
        <v>5662.67</v>
      </c>
      <c r="V71" s="36">
        <v>0</v>
      </c>
      <c r="W71" s="67">
        <v>0</v>
      </c>
      <c r="X71" s="67">
        <v>0</v>
      </c>
      <c r="Y71" s="36">
        <v>0</v>
      </c>
      <c r="Z71" s="36">
        <v>50755.79</v>
      </c>
      <c r="AA71" s="36">
        <v>171211.88</v>
      </c>
      <c r="AB71" s="36">
        <v>1312352.6000000001</v>
      </c>
      <c r="AC71" s="36">
        <v>3411698.92</v>
      </c>
      <c r="AD71" s="36">
        <v>363.08</v>
      </c>
      <c r="AE71" s="36">
        <v>3212429.45</v>
      </c>
      <c r="AF71" s="68">
        <f t="shared" ref="AF71:AF134" si="51">IFERROR(AE71/AD71,0)</f>
        <v>8847.7179960339326</v>
      </c>
      <c r="AG71" s="68">
        <f t="shared" ref="AG71:AG134" si="52">IFERROR(AC71/AD71,0)</f>
        <v>9396.5487495868674</v>
      </c>
      <c r="AH71" s="69">
        <f t="shared" ref="AH71:AH134" si="53">ROUND(AG71-AF71,2)</f>
        <v>548.83000000000004</v>
      </c>
      <c r="AI71" s="36">
        <v>143.13999999999999</v>
      </c>
      <c r="AJ71" s="36">
        <v>1235346.55</v>
      </c>
      <c r="AK71" s="68">
        <f t="shared" ref="AK71:AK134" si="54">IFERROR(AJ71/AI71,0)</f>
        <v>8630.3377811932387</v>
      </c>
      <c r="AL71" s="68">
        <f t="shared" ref="AL71:AL134" si="55">IFERROR(AB71/AI71,0)</f>
        <v>9168.3149364258788</v>
      </c>
      <c r="AM71" s="69">
        <f t="shared" ref="AM71:AM134" si="56">ROUND(AL71-AK71,2)</f>
        <v>537.98</v>
      </c>
      <c r="AN71" s="67">
        <v>0</v>
      </c>
      <c r="AO71" s="67">
        <v>0</v>
      </c>
    </row>
    <row r="72" spans="1:41" s="3" customFormat="1" ht="15">
      <c r="A72" s="58" t="s">
        <v>533</v>
      </c>
      <c r="B72" s="58" t="s">
        <v>126</v>
      </c>
      <c r="C72" s="58" t="str">
        <f t="shared" si="50"/>
        <v>19028 EASTON SCHOOL DISTRICT</v>
      </c>
      <c r="D72" s="36">
        <v>11798.34</v>
      </c>
      <c r="E72" s="36">
        <v>2934.89</v>
      </c>
      <c r="F72" s="36">
        <v>1181.81</v>
      </c>
      <c r="G72" s="36">
        <v>149073.99</v>
      </c>
      <c r="H72" s="36">
        <v>21421.71</v>
      </c>
      <c r="I72" s="36">
        <v>12851.44</v>
      </c>
      <c r="J72" s="36">
        <v>44750.52</v>
      </c>
      <c r="K72" s="36">
        <v>0</v>
      </c>
      <c r="L72" s="36">
        <v>0</v>
      </c>
      <c r="M72" s="36">
        <v>142301.14000000001</v>
      </c>
      <c r="N72" s="50">
        <v>0.13600000000000001</v>
      </c>
      <c r="O72" s="53">
        <v>0.4521</v>
      </c>
      <c r="P72" s="36">
        <v>0</v>
      </c>
      <c r="Q72" s="66">
        <v>0</v>
      </c>
      <c r="R72" s="66">
        <v>0</v>
      </c>
      <c r="S72" s="67">
        <v>0</v>
      </c>
      <c r="T72" s="67">
        <v>0</v>
      </c>
      <c r="U72" s="67">
        <v>0</v>
      </c>
      <c r="V72" s="36">
        <v>0</v>
      </c>
      <c r="W72" s="67">
        <v>0</v>
      </c>
      <c r="X72" s="67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68">
        <f t="shared" si="51"/>
        <v>0</v>
      </c>
      <c r="AG72" s="68">
        <f t="shared" si="52"/>
        <v>0</v>
      </c>
      <c r="AH72" s="69">
        <f t="shared" si="53"/>
        <v>0</v>
      </c>
      <c r="AI72" s="36">
        <v>0</v>
      </c>
      <c r="AJ72" s="36">
        <v>0</v>
      </c>
      <c r="AK72" s="68">
        <f t="shared" si="54"/>
        <v>0</v>
      </c>
      <c r="AL72" s="68">
        <f t="shared" si="55"/>
        <v>0</v>
      </c>
      <c r="AM72" s="69">
        <f t="shared" si="56"/>
        <v>0</v>
      </c>
      <c r="AN72" s="67">
        <v>0</v>
      </c>
      <c r="AO72" s="67">
        <v>0</v>
      </c>
    </row>
    <row r="73" spans="1:41" s="3" customFormat="1" ht="15">
      <c r="A73" s="58" t="s">
        <v>604</v>
      </c>
      <c r="B73" s="58" t="s">
        <v>198</v>
      </c>
      <c r="C73" s="58" t="str">
        <f t="shared" si="50"/>
        <v>27404 EATONVILLE SCHOOL DISTRICT</v>
      </c>
      <c r="D73" s="36">
        <v>0</v>
      </c>
      <c r="E73" s="36">
        <v>43713.01</v>
      </c>
      <c r="F73" s="36">
        <v>1749.4</v>
      </c>
      <c r="G73" s="36">
        <v>2632244.2799999998</v>
      </c>
      <c r="H73" s="36">
        <v>430297.65</v>
      </c>
      <c r="I73" s="36">
        <v>42388.5</v>
      </c>
      <c r="J73" s="36">
        <v>549180.46</v>
      </c>
      <c r="K73" s="36">
        <v>17863.169999999998</v>
      </c>
      <c r="L73" s="36">
        <v>57972.5</v>
      </c>
      <c r="M73" s="36">
        <v>1279096.55</v>
      </c>
      <c r="N73" s="50">
        <v>2.4500000000000001E-2</v>
      </c>
      <c r="O73" s="53">
        <v>0.19139999999999999</v>
      </c>
      <c r="P73" s="36">
        <v>0</v>
      </c>
      <c r="Q73" s="66">
        <v>0</v>
      </c>
      <c r="R73" s="66">
        <v>0</v>
      </c>
      <c r="S73" s="67">
        <v>0</v>
      </c>
      <c r="T73" s="67">
        <v>0</v>
      </c>
      <c r="U73" s="67">
        <v>0</v>
      </c>
      <c r="V73" s="36">
        <v>0</v>
      </c>
      <c r="W73" s="67">
        <v>0</v>
      </c>
      <c r="X73" s="67">
        <v>0</v>
      </c>
      <c r="Y73" s="36">
        <v>0</v>
      </c>
      <c r="Z73" s="36">
        <v>747.92</v>
      </c>
      <c r="AA73" s="36">
        <v>0</v>
      </c>
      <c r="AB73" s="36">
        <v>598634.53</v>
      </c>
      <c r="AC73" s="36">
        <v>1198441</v>
      </c>
      <c r="AD73" s="36">
        <v>126.13</v>
      </c>
      <c r="AE73" s="36">
        <v>1115921.54</v>
      </c>
      <c r="AF73" s="68">
        <f t="shared" si="51"/>
        <v>8847.39189724887</v>
      </c>
      <c r="AG73" s="68">
        <f t="shared" si="52"/>
        <v>9501.633235550622</v>
      </c>
      <c r="AH73" s="69">
        <f t="shared" si="53"/>
        <v>654.24</v>
      </c>
      <c r="AI73" s="36">
        <v>65.290000000000006</v>
      </c>
      <c r="AJ73" s="36">
        <v>563500.84</v>
      </c>
      <c r="AK73" s="68">
        <f t="shared" si="54"/>
        <v>8630.7373257772997</v>
      </c>
      <c r="AL73" s="68">
        <f t="shared" si="55"/>
        <v>9168.8548016541572</v>
      </c>
      <c r="AM73" s="69">
        <f t="shared" si="56"/>
        <v>538.12</v>
      </c>
      <c r="AN73" s="67">
        <v>7000</v>
      </c>
      <c r="AO73" s="67">
        <v>0</v>
      </c>
    </row>
    <row r="74" spans="1:41" s="3" customFormat="1" ht="15">
      <c r="A74" s="58" t="s">
        <v>625</v>
      </c>
      <c r="B74" s="58" t="s">
        <v>219</v>
      </c>
      <c r="C74" s="58" t="str">
        <f t="shared" si="50"/>
        <v>31015 EDMONDS SCHOOL DISTRICT</v>
      </c>
      <c r="D74" s="36">
        <v>0</v>
      </c>
      <c r="E74" s="36">
        <v>527724.93000000005</v>
      </c>
      <c r="F74" s="36">
        <v>62288.959999999999</v>
      </c>
      <c r="G74" s="36">
        <v>39146161.359999999</v>
      </c>
      <c r="H74" s="36">
        <v>8723945.5899999999</v>
      </c>
      <c r="I74" s="36">
        <v>629213.68000000005</v>
      </c>
      <c r="J74" s="36">
        <v>5841256.4500000002</v>
      </c>
      <c r="K74" s="36">
        <v>7180522.9299999997</v>
      </c>
      <c r="L74" s="36">
        <v>693745.34</v>
      </c>
      <c r="M74" s="36">
        <v>17179187.350000001</v>
      </c>
      <c r="N74" s="50">
        <v>3.4799999999999998E-2</v>
      </c>
      <c r="O74" s="53">
        <v>0.1258</v>
      </c>
      <c r="P74" s="36">
        <v>0</v>
      </c>
      <c r="Q74" s="66">
        <v>0</v>
      </c>
      <c r="R74" s="66">
        <v>0</v>
      </c>
      <c r="S74" s="67">
        <v>0</v>
      </c>
      <c r="T74" s="67">
        <v>0</v>
      </c>
      <c r="U74" s="67">
        <v>0</v>
      </c>
      <c r="V74" s="36">
        <v>0</v>
      </c>
      <c r="W74" s="67">
        <v>0</v>
      </c>
      <c r="X74" s="67">
        <v>0</v>
      </c>
      <c r="Y74" s="36">
        <v>0</v>
      </c>
      <c r="Z74" s="36">
        <v>18311.7</v>
      </c>
      <c r="AA74" s="36">
        <v>305490.53000000003</v>
      </c>
      <c r="AB74" s="36">
        <v>1031444.85</v>
      </c>
      <c r="AC74" s="36">
        <v>10543087.74</v>
      </c>
      <c r="AD74" s="36">
        <v>959.14</v>
      </c>
      <c r="AE74" s="36">
        <v>9535734.0999999996</v>
      </c>
      <c r="AF74" s="68">
        <f t="shared" si="51"/>
        <v>9941.9626957482742</v>
      </c>
      <c r="AG74" s="68">
        <f t="shared" si="52"/>
        <v>10992.230268782452</v>
      </c>
      <c r="AH74" s="69">
        <f t="shared" si="53"/>
        <v>1050.27</v>
      </c>
      <c r="AI74" s="36">
        <v>99.91</v>
      </c>
      <c r="AJ74" s="36">
        <v>971386.21</v>
      </c>
      <c r="AK74" s="68">
        <f t="shared" si="54"/>
        <v>9722.6124512060851</v>
      </c>
      <c r="AL74" s="68">
        <f t="shared" si="55"/>
        <v>10323.739865879292</v>
      </c>
      <c r="AM74" s="69">
        <f t="shared" si="56"/>
        <v>601.13</v>
      </c>
      <c r="AN74" s="67">
        <v>0</v>
      </c>
      <c r="AO74" s="67">
        <v>0</v>
      </c>
    </row>
    <row r="75" spans="1:41" s="3" customFormat="1" ht="15">
      <c r="A75" s="58" t="s">
        <v>535</v>
      </c>
      <c r="B75" s="58" t="s">
        <v>128</v>
      </c>
      <c r="C75" s="58" t="str">
        <f t="shared" si="50"/>
        <v>19401 ELLENSBURG SCHOOL DISTRICT</v>
      </c>
      <c r="D75" s="36">
        <v>0</v>
      </c>
      <c r="E75" s="36">
        <v>55566.87</v>
      </c>
      <c r="F75" s="36">
        <v>17348.419999999998</v>
      </c>
      <c r="G75" s="36">
        <v>5041571</v>
      </c>
      <c r="H75" s="36">
        <v>884074.25</v>
      </c>
      <c r="I75" s="36">
        <v>234591.27</v>
      </c>
      <c r="J75" s="36">
        <v>899820.65</v>
      </c>
      <c r="K75" s="36">
        <v>393806.34</v>
      </c>
      <c r="L75" s="36">
        <v>96828.65</v>
      </c>
      <c r="M75" s="36">
        <v>2060063.45</v>
      </c>
      <c r="N75" s="50">
        <v>5.0599999999999999E-2</v>
      </c>
      <c r="O75" s="53">
        <v>0.16039999999999999</v>
      </c>
      <c r="P75" s="36">
        <v>0</v>
      </c>
      <c r="Q75" s="66">
        <v>0</v>
      </c>
      <c r="R75" s="66">
        <v>0</v>
      </c>
      <c r="S75" s="67">
        <v>0</v>
      </c>
      <c r="T75" s="67">
        <v>0</v>
      </c>
      <c r="U75" s="67">
        <v>0</v>
      </c>
      <c r="V75" s="36">
        <v>0</v>
      </c>
      <c r="W75" s="67">
        <v>0</v>
      </c>
      <c r="X75" s="67">
        <v>0</v>
      </c>
      <c r="Y75" s="36">
        <v>0</v>
      </c>
      <c r="Z75" s="36">
        <v>27359.45</v>
      </c>
      <c r="AA75" s="36">
        <v>182626.92</v>
      </c>
      <c r="AB75" s="36">
        <v>261580.68</v>
      </c>
      <c r="AC75" s="36">
        <v>1772217.42</v>
      </c>
      <c r="AD75" s="36">
        <v>192.99</v>
      </c>
      <c r="AE75" s="36">
        <v>1707438.76</v>
      </c>
      <c r="AF75" s="68">
        <f t="shared" si="51"/>
        <v>8847.2913622467477</v>
      </c>
      <c r="AG75" s="68">
        <f t="shared" si="52"/>
        <v>9182.9494792476289</v>
      </c>
      <c r="AH75" s="69">
        <f t="shared" si="53"/>
        <v>335.66</v>
      </c>
      <c r="AI75" s="36">
        <v>28.52</v>
      </c>
      <c r="AJ75" s="36">
        <v>246202.99</v>
      </c>
      <c r="AK75" s="68">
        <f t="shared" si="54"/>
        <v>8632.6434081346415</v>
      </c>
      <c r="AL75" s="68">
        <f t="shared" si="55"/>
        <v>9171.8330995792421</v>
      </c>
      <c r="AM75" s="69">
        <f t="shared" si="56"/>
        <v>539.19000000000005</v>
      </c>
      <c r="AN75" s="67">
        <v>0</v>
      </c>
      <c r="AO75" s="67">
        <v>0</v>
      </c>
    </row>
    <row r="76" spans="1:41" s="3" customFormat="1" ht="15">
      <c r="A76" s="58" t="s">
        <v>492</v>
      </c>
      <c r="B76" s="58" t="s">
        <v>85</v>
      </c>
      <c r="C76" s="58" t="str">
        <f t="shared" si="50"/>
        <v>14068 ELMA SCHOOL DISTRICT</v>
      </c>
      <c r="D76" s="36">
        <v>0</v>
      </c>
      <c r="E76" s="36">
        <v>77029.08</v>
      </c>
      <c r="F76" s="36">
        <v>49243.44</v>
      </c>
      <c r="G76" s="36">
        <v>2759443.55</v>
      </c>
      <c r="H76" s="36">
        <v>566172.92000000004</v>
      </c>
      <c r="I76" s="36">
        <v>524235.63</v>
      </c>
      <c r="J76" s="36">
        <v>856004.93</v>
      </c>
      <c r="K76" s="36">
        <v>217343.5</v>
      </c>
      <c r="L76" s="36">
        <v>50838.17</v>
      </c>
      <c r="M76" s="36">
        <v>942517.71</v>
      </c>
      <c r="N76" s="50">
        <v>0</v>
      </c>
      <c r="O76" s="53">
        <v>0.1366</v>
      </c>
      <c r="P76" s="36">
        <v>0</v>
      </c>
      <c r="Q76" s="66">
        <v>0</v>
      </c>
      <c r="R76" s="66">
        <v>0</v>
      </c>
      <c r="S76" s="67">
        <v>0</v>
      </c>
      <c r="T76" s="67">
        <v>0</v>
      </c>
      <c r="U76" s="67">
        <v>0</v>
      </c>
      <c r="V76" s="36">
        <v>0</v>
      </c>
      <c r="W76" s="67">
        <v>0</v>
      </c>
      <c r="X76" s="67">
        <v>0</v>
      </c>
      <c r="Y76" s="36">
        <v>0</v>
      </c>
      <c r="Z76" s="36">
        <v>24855.95</v>
      </c>
      <c r="AA76" s="36">
        <v>127751.44</v>
      </c>
      <c r="AB76" s="36">
        <v>652380.81000000006</v>
      </c>
      <c r="AC76" s="36">
        <v>2385685.59</v>
      </c>
      <c r="AD76" s="36">
        <v>251.43</v>
      </c>
      <c r="AE76" s="36">
        <v>2246635.4900000002</v>
      </c>
      <c r="AF76" s="68">
        <f t="shared" si="51"/>
        <v>8935.4312930040178</v>
      </c>
      <c r="AG76" s="68">
        <f t="shared" si="52"/>
        <v>9488.4683212027194</v>
      </c>
      <c r="AH76" s="69">
        <f t="shared" si="53"/>
        <v>553.04</v>
      </c>
      <c r="AI76" s="36">
        <v>70.41</v>
      </c>
      <c r="AJ76" s="36">
        <v>613929.51</v>
      </c>
      <c r="AK76" s="68">
        <f t="shared" si="54"/>
        <v>8719.351086493396</v>
      </c>
      <c r="AL76" s="68">
        <f t="shared" si="55"/>
        <v>9265.4567533020891</v>
      </c>
      <c r="AM76" s="69">
        <f t="shared" si="56"/>
        <v>546.11</v>
      </c>
      <c r="AN76" s="67">
        <v>0</v>
      </c>
      <c r="AO76" s="67">
        <v>0</v>
      </c>
    </row>
    <row r="77" spans="1:41" s="3" customFormat="1" ht="15">
      <c r="A77" s="58" t="s">
        <v>691</v>
      </c>
      <c r="B77" s="58" t="s">
        <v>288</v>
      </c>
      <c r="C77" s="58" t="str">
        <f t="shared" si="50"/>
        <v>38308 ENDICOTT SCHOOL DISTRICT</v>
      </c>
      <c r="D77" s="36">
        <v>0</v>
      </c>
      <c r="E77" s="36">
        <v>0</v>
      </c>
      <c r="F77" s="36">
        <v>2253.23</v>
      </c>
      <c r="G77" s="36">
        <v>126939.1</v>
      </c>
      <c r="H77" s="36">
        <v>25506.78</v>
      </c>
      <c r="I77" s="36">
        <v>21194.26</v>
      </c>
      <c r="J77" s="36">
        <v>27012.29</v>
      </c>
      <c r="K77" s="36">
        <v>0</v>
      </c>
      <c r="L77" s="36">
        <v>2389.5500000000002</v>
      </c>
      <c r="M77" s="36">
        <v>218849.37</v>
      </c>
      <c r="N77" s="50">
        <v>3.4299999999999997E-2</v>
      </c>
      <c r="O77" s="53">
        <v>0.2616</v>
      </c>
      <c r="P77" s="36">
        <v>0</v>
      </c>
      <c r="Q77" s="66">
        <v>0</v>
      </c>
      <c r="R77" s="66">
        <v>0</v>
      </c>
      <c r="S77" s="67">
        <v>0</v>
      </c>
      <c r="T77" s="67">
        <v>0</v>
      </c>
      <c r="U77" s="67">
        <v>0</v>
      </c>
      <c r="V77" s="36">
        <v>0</v>
      </c>
      <c r="W77" s="67">
        <v>0</v>
      </c>
      <c r="X77" s="67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68">
        <f t="shared" si="51"/>
        <v>0</v>
      </c>
      <c r="AG77" s="68">
        <f t="shared" si="52"/>
        <v>0</v>
      </c>
      <c r="AH77" s="69">
        <f t="shared" si="53"/>
        <v>0</v>
      </c>
      <c r="AI77" s="36">
        <v>0</v>
      </c>
      <c r="AJ77" s="36">
        <v>0</v>
      </c>
      <c r="AK77" s="68">
        <f t="shared" si="54"/>
        <v>0</v>
      </c>
      <c r="AL77" s="68">
        <f t="shared" si="55"/>
        <v>0</v>
      </c>
      <c r="AM77" s="69">
        <f t="shared" si="56"/>
        <v>0</v>
      </c>
      <c r="AN77" s="67">
        <v>0</v>
      </c>
      <c r="AO77" s="67">
        <v>0</v>
      </c>
    </row>
    <row r="78" spans="1:41" s="3" customFormat="1" ht="15">
      <c r="A78" s="58" t="s">
        <v>434</v>
      </c>
      <c r="B78" s="58" t="s">
        <v>27</v>
      </c>
      <c r="C78" s="58" t="str">
        <f t="shared" si="50"/>
        <v>04127 ENTIAT SCHOOL DISTRICT</v>
      </c>
      <c r="D78" s="36">
        <v>0</v>
      </c>
      <c r="E78" s="36">
        <v>7070.12</v>
      </c>
      <c r="F78" s="36">
        <v>7372.85</v>
      </c>
      <c r="G78" s="36">
        <v>395136.45</v>
      </c>
      <c r="H78" s="36">
        <v>38260.82</v>
      </c>
      <c r="I78" s="36">
        <v>104804.65</v>
      </c>
      <c r="J78" s="36">
        <v>164462.68</v>
      </c>
      <c r="K78" s="36">
        <v>178376.71</v>
      </c>
      <c r="L78" s="36">
        <v>11824.11</v>
      </c>
      <c r="M78" s="36">
        <v>294213.65999999997</v>
      </c>
      <c r="N78" s="50">
        <v>7.9899999999999999E-2</v>
      </c>
      <c r="O78" s="53">
        <v>0.2389</v>
      </c>
      <c r="P78" s="36">
        <v>0</v>
      </c>
      <c r="Q78" s="66">
        <v>0</v>
      </c>
      <c r="R78" s="66">
        <v>0</v>
      </c>
      <c r="S78" s="67">
        <v>0</v>
      </c>
      <c r="T78" s="67">
        <v>0</v>
      </c>
      <c r="U78" s="67">
        <v>0</v>
      </c>
      <c r="V78" s="36">
        <v>0</v>
      </c>
      <c r="W78" s="67">
        <v>0</v>
      </c>
      <c r="X78" s="67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2925.64</v>
      </c>
      <c r="AD78" s="36">
        <v>0</v>
      </c>
      <c r="AE78" s="36">
        <v>0</v>
      </c>
      <c r="AF78" s="68">
        <f t="shared" si="51"/>
        <v>0</v>
      </c>
      <c r="AG78" s="68">
        <f t="shared" si="52"/>
        <v>0</v>
      </c>
      <c r="AH78" s="69">
        <f t="shared" si="53"/>
        <v>0</v>
      </c>
      <c r="AI78" s="36">
        <v>0</v>
      </c>
      <c r="AJ78" s="36">
        <v>0</v>
      </c>
      <c r="AK78" s="68">
        <f t="shared" si="54"/>
        <v>0</v>
      </c>
      <c r="AL78" s="68">
        <f t="shared" si="55"/>
        <v>0</v>
      </c>
      <c r="AM78" s="69">
        <f t="shared" si="56"/>
        <v>0</v>
      </c>
      <c r="AN78" s="67">
        <v>1900</v>
      </c>
      <c r="AO78" s="67">
        <v>0</v>
      </c>
    </row>
    <row r="79" spans="1:41" s="3" customFormat="1" ht="15">
      <c r="A79" s="58" t="s">
        <v>510</v>
      </c>
      <c r="B79" s="58" t="s">
        <v>103</v>
      </c>
      <c r="C79" s="58" t="str">
        <f t="shared" si="50"/>
        <v>17216 ENUMCLAW SCHOOL DISTRICT</v>
      </c>
      <c r="D79" s="36">
        <v>0</v>
      </c>
      <c r="E79" s="36">
        <v>53973.96</v>
      </c>
      <c r="F79" s="36">
        <v>0</v>
      </c>
      <c r="G79" s="36">
        <v>8655877.75</v>
      </c>
      <c r="H79" s="36">
        <v>1602775.24</v>
      </c>
      <c r="I79" s="36">
        <v>0</v>
      </c>
      <c r="J79" s="36">
        <v>929439.96</v>
      </c>
      <c r="K79" s="36">
        <v>596683.85</v>
      </c>
      <c r="L79" s="36">
        <v>144864.44</v>
      </c>
      <c r="M79" s="36">
        <v>2984903.98</v>
      </c>
      <c r="N79" s="50">
        <v>3.7199999999999997E-2</v>
      </c>
      <c r="O79" s="53">
        <v>0.1532</v>
      </c>
      <c r="P79" s="36">
        <v>0</v>
      </c>
      <c r="Q79" s="66">
        <v>0</v>
      </c>
      <c r="R79" s="66">
        <v>0</v>
      </c>
      <c r="S79" s="67">
        <v>0</v>
      </c>
      <c r="T79" s="67">
        <v>0</v>
      </c>
      <c r="U79" s="67">
        <v>0</v>
      </c>
      <c r="V79" s="36">
        <v>0</v>
      </c>
      <c r="W79" s="67">
        <v>0</v>
      </c>
      <c r="X79" s="67">
        <v>0</v>
      </c>
      <c r="Y79" s="36">
        <v>0</v>
      </c>
      <c r="Z79" s="36">
        <v>0</v>
      </c>
      <c r="AA79" s="36">
        <v>346708.14</v>
      </c>
      <c r="AB79" s="36">
        <v>756777.53</v>
      </c>
      <c r="AC79" s="36">
        <v>4396639.04</v>
      </c>
      <c r="AD79" s="36">
        <v>425.79</v>
      </c>
      <c r="AE79" s="36">
        <v>4115168.43</v>
      </c>
      <c r="AF79" s="68">
        <f t="shared" si="51"/>
        <v>9664.7841189318679</v>
      </c>
      <c r="AG79" s="68">
        <f t="shared" si="52"/>
        <v>10325.839122572159</v>
      </c>
      <c r="AH79" s="69">
        <f t="shared" si="53"/>
        <v>661.06</v>
      </c>
      <c r="AI79" s="36">
        <v>75.430000000000007</v>
      </c>
      <c r="AJ79" s="36">
        <v>712479.41</v>
      </c>
      <c r="AK79" s="68">
        <f t="shared" si="54"/>
        <v>9445.5708604003703</v>
      </c>
      <c r="AL79" s="68">
        <f t="shared" si="55"/>
        <v>10032.845419594325</v>
      </c>
      <c r="AM79" s="69">
        <f t="shared" si="56"/>
        <v>587.27</v>
      </c>
      <c r="AN79" s="67">
        <v>5000</v>
      </c>
      <c r="AO79" s="67">
        <v>0</v>
      </c>
    </row>
    <row r="80" spans="1:41" s="3" customFormat="1" ht="15">
      <c r="A80" s="58" t="s">
        <v>484</v>
      </c>
      <c r="B80" s="58" t="s">
        <v>77</v>
      </c>
      <c r="C80" s="58" t="str">
        <f t="shared" si="50"/>
        <v>13165 EPHRATA SCHOOL DISTRICT</v>
      </c>
      <c r="D80" s="36">
        <v>169274.67</v>
      </c>
      <c r="E80" s="36">
        <v>77980.850000000006</v>
      </c>
      <c r="F80" s="36">
        <v>19967.509999999998</v>
      </c>
      <c r="G80" s="36">
        <v>3827567.4</v>
      </c>
      <c r="H80" s="36">
        <v>663017.97</v>
      </c>
      <c r="I80" s="36">
        <v>841017.01</v>
      </c>
      <c r="J80" s="36">
        <v>1063417.8400000001</v>
      </c>
      <c r="K80" s="36">
        <v>681084.31</v>
      </c>
      <c r="L80" s="36">
        <v>83736.23</v>
      </c>
      <c r="M80" s="36">
        <v>1926008.07</v>
      </c>
      <c r="N80" s="50">
        <v>5.0900000000000001E-2</v>
      </c>
      <c r="O80" s="53">
        <v>0.1711</v>
      </c>
      <c r="P80" s="36">
        <v>0</v>
      </c>
      <c r="Q80" s="66">
        <v>0</v>
      </c>
      <c r="R80" s="66">
        <v>0</v>
      </c>
      <c r="S80" s="67">
        <v>0</v>
      </c>
      <c r="T80" s="67">
        <v>0</v>
      </c>
      <c r="U80" s="67">
        <v>0</v>
      </c>
      <c r="V80" s="36">
        <v>0</v>
      </c>
      <c r="W80" s="67">
        <v>0</v>
      </c>
      <c r="X80" s="67">
        <v>0</v>
      </c>
      <c r="Y80" s="36">
        <v>0</v>
      </c>
      <c r="Z80" s="36">
        <v>22079.57</v>
      </c>
      <c r="AA80" s="36">
        <v>93206.11</v>
      </c>
      <c r="AB80" s="36">
        <v>460732.89</v>
      </c>
      <c r="AC80" s="36">
        <v>2423647.77</v>
      </c>
      <c r="AD80" s="36">
        <v>254.48</v>
      </c>
      <c r="AE80" s="36">
        <v>2296137.4500000002</v>
      </c>
      <c r="AF80" s="68">
        <f t="shared" si="51"/>
        <v>9022.8601461804483</v>
      </c>
      <c r="AG80" s="68">
        <f t="shared" si="52"/>
        <v>9523.9223907576234</v>
      </c>
      <c r="AH80" s="69">
        <f t="shared" si="53"/>
        <v>501.06</v>
      </c>
      <c r="AI80" s="36">
        <v>49.22</v>
      </c>
      <c r="AJ80" s="36">
        <v>433260.1</v>
      </c>
      <c r="AK80" s="68">
        <f t="shared" si="54"/>
        <v>8802.521332791548</v>
      </c>
      <c r="AL80" s="68">
        <f t="shared" si="55"/>
        <v>9360.684477854531</v>
      </c>
      <c r="AM80" s="69">
        <f t="shared" si="56"/>
        <v>558.16</v>
      </c>
      <c r="AN80" s="67">
        <v>0</v>
      </c>
      <c r="AO80" s="67">
        <v>0</v>
      </c>
    </row>
    <row r="81" spans="1:41" s="3" customFormat="1" ht="15">
      <c r="A81" s="58" t="s">
        <v>718</v>
      </c>
      <c r="B81" s="60" t="s">
        <v>719</v>
      </c>
      <c r="C81" s="61" t="str">
        <f>CONCATENATE(B81," ",A81)</f>
        <v>06701 ESA 112</v>
      </c>
      <c r="D81" s="36">
        <v>0</v>
      </c>
      <c r="E81" s="36">
        <v>0</v>
      </c>
      <c r="F81" s="36">
        <v>0</v>
      </c>
      <c r="G81" s="36">
        <v>19456251.899999999</v>
      </c>
      <c r="H81" s="36">
        <v>3002357.6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50">
        <v>0</v>
      </c>
      <c r="O81" s="53">
        <v>0</v>
      </c>
      <c r="P81" s="36">
        <v>0</v>
      </c>
      <c r="Q81" s="66">
        <v>0</v>
      </c>
      <c r="R81" s="66">
        <v>0</v>
      </c>
      <c r="S81" s="67">
        <v>0</v>
      </c>
      <c r="T81" s="67">
        <v>0</v>
      </c>
      <c r="U81" s="67">
        <v>0</v>
      </c>
      <c r="V81" s="36">
        <v>0</v>
      </c>
      <c r="W81" s="67">
        <v>0</v>
      </c>
      <c r="X81" s="67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68">
        <f t="shared" si="51"/>
        <v>0</v>
      </c>
      <c r="AG81" s="68">
        <f t="shared" si="52"/>
        <v>0</v>
      </c>
      <c r="AH81" s="69">
        <f t="shared" si="53"/>
        <v>0</v>
      </c>
      <c r="AI81" s="36">
        <v>0</v>
      </c>
      <c r="AJ81" s="36">
        <v>0</v>
      </c>
      <c r="AK81" s="68">
        <f t="shared" si="54"/>
        <v>0</v>
      </c>
      <c r="AL81" s="68">
        <f t="shared" si="55"/>
        <v>0</v>
      </c>
      <c r="AM81" s="69">
        <f t="shared" si="56"/>
        <v>0</v>
      </c>
      <c r="AN81" s="67">
        <v>0</v>
      </c>
      <c r="AO81" s="67">
        <v>0</v>
      </c>
    </row>
    <row r="82" spans="1:41" s="3" customFormat="1" ht="15">
      <c r="A82" s="58" t="s">
        <v>711</v>
      </c>
      <c r="B82" s="58" t="s">
        <v>349</v>
      </c>
      <c r="C82" s="61" t="str">
        <f>CONCATENATE(B82," ",A82)</f>
        <v>32801 ESD 101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50">
        <v>0</v>
      </c>
      <c r="O82" s="53">
        <v>0</v>
      </c>
      <c r="P82" s="36">
        <v>0</v>
      </c>
      <c r="Q82" s="66">
        <v>0</v>
      </c>
      <c r="R82" s="66">
        <v>0</v>
      </c>
      <c r="S82" s="67">
        <v>937045.95000000007</v>
      </c>
      <c r="T82" s="67">
        <v>75934.559999999939</v>
      </c>
      <c r="U82" s="67">
        <v>29979.1</v>
      </c>
      <c r="V82" s="36">
        <v>0</v>
      </c>
      <c r="W82" s="67">
        <v>0</v>
      </c>
      <c r="X82" s="67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68">
        <f t="shared" si="51"/>
        <v>0</v>
      </c>
      <c r="AG82" s="68">
        <f t="shared" si="52"/>
        <v>0</v>
      </c>
      <c r="AH82" s="69">
        <f t="shared" si="53"/>
        <v>0</v>
      </c>
      <c r="AI82" s="36">
        <v>0</v>
      </c>
      <c r="AJ82" s="36">
        <v>0</v>
      </c>
      <c r="AK82" s="68">
        <f t="shared" si="54"/>
        <v>0</v>
      </c>
      <c r="AL82" s="68">
        <f t="shared" si="55"/>
        <v>0</v>
      </c>
      <c r="AM82" s="69">
        <f t="shared" si="56"/>
        <v>0</v>
      </c>
      <c r="AN82" s="67">
        <v>0</v>
      </c>
      <c r="AO82" s="67">
        <v>0</v>
      </c>
    </row>
    <row r="83" spans="1:41" s="3" customFormat="1" ht="15">
      <c r="A83" s="58" t="s">
        <v>708</v>
      </c>
      <c r="B83" s="60" t="s">
        <v>351</v>
      </c>
      <c r="C83" s="61" t="str">
        <f>CONCATENATE(B83," ",A83)</f>
        <v>39801 ESD 105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2047728.79</v>
      </c>
      <c r="N83" s="50">
        <v>0</v>
      </c>
      <c r="O83" s="53">
        <v>0</v>
      </c>
      <c r="P83" s="36">
        <v>0</v>
      </c>
      <c r="Q83" s="66">
        <v>0</v>
      </c>
      <c r="R83" s="66">
        <v>0</v>
      </c>
      <c r="S83" s="67">
        <v>0</v>
      </c>
      <c r="T83" s="67">
        <v>0</v>
      </c>
      <c r="U83" s="67">
        <v>0</v>
      </c>
      <c r="V83" s="36">
        <v>0</v>
      </c>
      <c r="W83" s="67">
        <v>0</v>
      </c>
      <c r="X83" s="67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68">
        <f t="shared" si="51"/>
        <v>0</v>
      </c>
      <c r="AG83" s="68">
        <f t="shared" si="52"/>
        <v>0</v>
      </c>
      <c r="AH83" s="69">
        <f t="shared" si="53"/>
        <v>0</v>
      </c>
      <c r="AI83" s="36">
        <v>0</v>
      </c>
      <c r="AJ83" s="36">
        <v>0</v>
      </c>
      <c r="AK83" s="68">
        <f t="shared" si="54"/>
        <v>0</v>
      </c>
      <c r="AL83" s="68">
        <f t="shared" si="55"/>
        <v>0</v>
      </c>
      <c r="AM83" s="69">
        <f t="shared" si="56"/>
        <v>0</v>
      </c>
      <c r="AN83" s="67">
        <v>0</v>
      </c>
      <c r="AO83" s="67">
        <v>0</v>
      </c>
    </row>
    <row r="84" spans="1:41" s="3" customFormat="1" ht="15">
      <c r="A84" s="58" t="s">
        <v>709</v>
      </c>
      <c r="B84" s="60" t="s">
        <v>344</v>
      </c>
      <c r="C84" s="61" t="str">
        <f>CONCATENATE(B84," ",A84)</f>
        <v>06801 ESD 112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5407717.7199999997</v>
      </c>
      <c r="N84" s="50">
        <v>0</v>
      </c>
      <c r="O84" s="53">
        <v>0</v>
      </c>
      <c r="P84" s="36">
        <v>0</v>
      </c>
      <c r="Q84" s="66">
        <v>0</v>
      </c>
      <c r="R84" s="66">
        <v>0</v>
      </c>
      <c r="S84" s="67">
        <v>739763.57000000007</v>
      </c>
      <c r="T84" s="67">
        <v>0</v>
      </c>
      <c r="U84" s="67">
        <v>23667.4</v>
      </c>
      <c r="V84" s="36">
        <v>0</v>
      </c>
      <c r="W84" s="67">
        <v>0</v>
      </c>
      <c r="X84" s="67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68">
        <f t="shared" si="51"/>
        <v>0</v>
      </c>
      <c r="AG84" s="68">
        <f t="shared" si="52"/>
        <v>0</v>
      </c>
      <c r="AH84" s="69">
        <f t="shared" si="53"/>
        <v>0</v>
      </c>
      <c r="AI84" s="36">
        <v>0</v>
      </c>
      <c r="AJ84" s="36">
        <v>0</v>
      </c>
      <c r="AK84" s="68">
        <f t="shared" si="54"/>
        <v>0</v>
      </c>
      <c r="AL84" s="68">
        <f t="shared" si="55"/>
        <v>0</v>
      </c>
      <c r="AM84" s="69">
        <f t="shared" si="56"/>
        <v>0</v>
      </c>
      <c r="AN84" s="67">
        <v>0</v>
      </c>
      <c r="AO84" s="67">
        <v>0</v>
      </c>
    </row>
    <row r="85" spans="1:41" s="3" customFormat="1" ht="15">
      <c r="A85" s="58" t="s">
        <v>712</v>
      </c>
      <c r="B85" s="58" t="s">
        <v>350</v>
      </c>
      <c r="C85" s="61" t="str">
        <f>CONCATENATE(B85," CAPITAL REGION ",A85)</f>
        <v>34801 CAPITAL REGION ESD 113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809118.08</v>
      </c>
      <c r="N85" s="50">
        <v>0</v>
      </c>
      <c r="O85" s="53">
        <v>0</v>
      </c>
      <c r="P85" s="36">
        <v>0</v>
      </c>
      <c r="Q85" s="66">
        <v>0</v>
      </c>
      <c r="R85" s="66">
        <v>0</v>
      </c>
      <c r="S85" s="67">
        <v>0</v>
      </c>
      <c r="T85" s="67">
        <v>0</v>
      </c>
      <c r="U85" s="67">
        <v>0</v>
      </c>
      <c r="V85" s="36">
        <v>0</v>
      </c>
      <c r="W85" s="67">
        <v>0</v>
      </c>
      <c r="X85" s="67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68">
        <f t="shared" si="51"/>
        <v>0</v>
      </c>
      <c r="AG85" s="68">
        <f t="shared" si="52"/>
        <v>0</v>
      </c>
      <c r="AH85" s="69">
        <f t="shared" si="53"/>
        <v>0</v>
      </c>
      <c r="AI85" s="36">
        <v>0</v>
      </c>
      <c r="AJ85" s="36">
        <v>0</v>
      </c>
      <c r="AK85" s="68">
        <f t="shared" si="54"/>
        <v>0</v>
      </c>
      <c r="AL85" s="68">
        <f t="shared" si="55"/>
        <v>0</v>
      </c>
      <c r="AM85" s="69">
        <f t="shared" si="56"/>
        <v>0</v>
      </c>
      <c r="AN85" s="67">
        <v>0</v>
      </c>
      <c r="AO85" s="67">
        <v>0</v>
      </c>
    </row>
    <row r="86" spans="1:41" s="3" customFormat="1" ht="15">
      <c r="A86" s="58" t="s">
        <v>802</v>
      </c>
      <c r="B86" s="60" t="s">
        <v>347</v>
      </c>
      <c r="C86" s="61" t="str">
        <f>CONCATENATE(B86," OLYMPIC ",A86)</f>
        <v>18801 OLYMPIC ESD 114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50">
        <v>0</v>
      </c>
      <c r="O86" s="53">
        <v>0</v>
      </c>
      <c r="P86" s="36">
        <v>0</v>
      </c>
      <c r="Q86" s="66">
        <v>0</v>
      </c>
      <c r="R86" s="66">
        <v>0</v>
      </c>
      <c r="S86" s="67">
        <v>323750.57</v>
      </c>
      <c r="T86" s="67">
        <v>0</v>
      </c>
      <c r="U86" s="67">
        <v>11397.27</v>
      </c>
      <c r="V86" s="36">
        <v>0</v>
      </c>
      <c r="W86" s="67">
        <v>0</v>
      </c>
      <c r="X86" s="67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68">
        <f t="shared" si="51"/>
        <v>0</v>
      </c>
      <c r="AG86" s="68">
        <f t="shared" si="52"/>
        <v>0</v>
      </c>
      <c r="AH86" s="69">
        <f t="shared" si="53"/>
        <v>0</v>
      </c>
      <c r="AI86" s="36">
        <v>0</v>
      </c>
      <c r="AJ86" s="36">
        <v>0</v>
      </c>
      <c r="AK86" s="68">
        <f t="shared" si="54"/>
        <v>0</v>
      </c>
      <c r="AL86" s="68">
        <f t="shared" si="55"/>
        <v>0</v>
      </c>
      <c r="AM86" s="69">
        <f t="shared" si="56"/>
        <v>0</v>
      </c>
      <c r="AN86" s="67">
        <v>0</v>
      </c>
      <c r="AO86" s="67">
        <v>0</v>
      </c>
    </row>
    <row r="87" spans="1:41" s="3" customFormat="1" ht="15">
      <c r="A87" s="58" t="s">
        <v>803</v>
      </c>
      <c r="B87" s="60" t="s">
        <v>346</v>
      </c>
      <c r="C87" s="61" t="str">
        <f>CONCATENATE(B87," PUGET SOUND ",A87)</f>
        <v>17801 PUGET SOUND ESD 121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1866640.6</v>
      </c>
      <c r="N87" s="50">
        <v>0</v>
      </c>
      <c r="O87" s="53">
        <v>0</v>
      </c>
      <c r="P87" s="36">
        <v>0</v>
      </c>
      <c r="Q87" s="66">
        <v>0</v>
      </c>
      <c r="R87" s="66">
        <v>0</v>
      </c>
      <c r="S87" s="67">
        <v>0</v>
      </c>
      <c r="T87" s="67">
        <v>0</v>
      </c>
      <c r="U87" s="67">
        <v>0</v>
      </c>
      <c r="V87" s="36">
        <v>0</v>
      </c>
      <c r="W87" s="67">
        <v>0</v>
      </c>
      <c r="X87" s="67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68">
        <f t="shared" si="51"/>
        <v>0</v>
      </c>
      <c r="AG87" s="68">
        <f t="shared" si="52"/>
        <v>0</v>
      </c>
      <c r="AH87" s="69">
        <f t="shared" si="53"/>
        <v>0</v>
      </c>
      <c r="AI87" s="36">
        <v>0</v>
      </c>
      <c r="AJ87" s="36">
        <v>0</v>
      </c>
      <c r="AK87" s="68">
        <f t="shared" si="54"/>
        <v>0</v>
      </c>
      <c r="AL87" s="68">
        <f t="shared" si="55"/>
        <v>0</v>
      </c>
      <c r="AM87" s="69">
        <f t="shared" si="56"/>
        <v>0</v>
      </c>
      <c r="AN87" s="67">
        <v>0</v>
      </c>
      <c r="AO87" s="67">
        <v>0</v>
      </c>
    </row>
    <row r="88" spans="1:41" s="3" customFormat="1" ht="15">
      <c r="A88" s="58" t="s">
        <v>710</v>
      </c>
      <c r="B88" s="60" t="s">
        <v>345</v>
      </c>
      <c r="C88" s="61" t="str">
        <f>CONCATENATE(B88," ",A88)</f>
        <v>11801 ESD 123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50">
        <v>0</v>
      </c>
      <c r="O88" s="53">
        <v>0</v>
      </c>
      <c r="P88" s="36">
        <v>0</v>
      </c>
      <c r="Q88" s="66">
        <v>0</v>
      </c>
      <c r="R88" s="66">
        <v>0</v>
      </c>
      <c r="S88" s="67">
        <v>0</v>
      </c>
      <c r="T88" s="67">
        <v>0</v>
      </c>
      <c r="U88" s="67">
        <v>0</v>
      </c>
      <c r="V88" s="36">
        <v>0</v>
      </c>
      <c r="W88" s="67">
        <v>0</v>
      </c>
      <c r="X88" s="67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68">
        <f t="shared" si="51"/>
        <v>0</v>
      </c>
      <c r="AG88" s="68">
        <f t="shared" si="52"/>
        <v>0</v>
      </c>
      <c r="AH88" s="69">
        <f t="shared" si="53"/>
        <v>0</v>
      </c>
      <c r="AI88" s="36">
        <v>0</v>
      </c>
      <c r="AJ88" s="36">
        <v>0</v>
      </c>
      <c r="AK88" s="68">
        <f t="shared" si="54"/>
        <v>0</v>
      </c>
      <c r="AL88" s="68">
        <f t="shared" si="55"/>
        <v>0</v>
      </c>
      <c r="AM88" s="69">
        <f t="shared" si="56"/>
        <v>0</v>
      </c>
      <c r="AN88" s="67">
        <v>0</v>
      </c>
      <c r="AO88" s="67">
        <v>0</v>
      </c>
    </row>
    <row r="89" spans="1:41" s="3" customFormat="1" ht="15">
      <c r="A89" s="58" t="s">
        <v>800</v>
      </c>
      <c r="B89" s="60" t="s">
        <v>343</v>
      </c>
      <c r="C89" s="61" t="str">
        <f>CONCATENATE(B89," ",A89)</f>
        <v>04801 ESD 171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50">
        <v>0</v>
      </c>
      <c r="O89" s="53">
        <v>0</v>
      </c>
      <c r="P89" s="36">
        <v>0</v>
      </c>
      <c r="Q89" s="66">
        <v>0</v>
      </c>
      <c r="R89" s="66">
        <v>0</v>
      </c>
      <c r="S89" s="67">
        <v>0</v>
      </c>
      <c r="T89" s="67">
        <v>0</v>
      </c>
      <c r="U89" s="67">
        <v>0</v>
      </c>
      <c r="V89" s="36">
        <v>0</v>
      </c>
      <c r="W89" s="67">
        <v>0</v>
      </c>
      <c r="X89" s="67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68">
        <f t="shared" si="51"/>
        <v>0</v>
      </c>
      <c r="AG89" s="68">
        <f t="shared" si="52"/>
        <v>0</v>
      </c>
      <c r="AH89" s="69">
        <f t="shared" si="53"/>
        <v>0</v>
      </c>
      <c r="AI89" s="36">
        <v>0</v>
      </c>
      <c r="AJ89" s="36">
        <v>0</v>
      </c>
      <c r="AK89" s="68">
        <f t="shared" si="54"/>
        <v>0</v>
      </c>
      <c r="AL89" s="68">
        <f t="shared" si="55"/>
        <v>0</v>
      </c>
      <c r="AM89" s="69">
        <f t="shared" si="56"/>
        <v>0</v>
      </c>
      <c r="AN89" s="67">
        <v>0</v>
      </c>
      <c r="AO89" s="67">
        <v>0</v>
      </c>
    </row>
    <row r="90" spans="1:41" s="3" customFormat="1" ht="15">
      <c r="A90" s="58" t="s">
        <v>801</v>
      </c>
      <c r="B90" s="58" t="s">
        <v>348</v>
      </c>
      <c r="C90" s="61" t="str">
        <f>CONCATENATE(B90," NORTHWEST ",A90)</f>
        <v>29801 NORTHWEST ESD 189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50">
        <v>0</v>
      </c>
      <c r="O90" s="53">
        <v>0</v>
      </c>
      <c r="P90" s="36">
        <v>0</v>
      </c>
      <c r="Q90" s="66">
        <v>0</v>
      </c>
      <c r="R90" s="66">
        <v>0</v>
      </c>
      <c r="S90" s="67">
        <v>597560.84</v>
      </c>
      <c r="T90" s="67">
        <v>0</v>
      </c>
      <c r="U90" s="67">
        <v>20659.04</v>
      </c>
      <c r="V90" s="36">
        <v>0</v>
      </c>
      <c r="W90" s="67">
        <v>0</v>
      </c>
      <c r="X90" s="67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68">
        <f t="shared" si="51"/>
        <v>0</v>
      </c>
      <c r="AG90" s="68">
        <f t="shared" si="52"/>
        <v>0</v>
      </c>
      <c r="AH90" s="69">
        <f t="shared" si="53"/>
        <v>0</v>
      </c>
      <c r="AI90" s="36">
        <v>0</v>
      </c>
      <c r="AJ90" s="36">
        <v>0</v>
      </c>
      <c r="AK90" s="68">
        <f t="shared" si="54"/>
        <v>0</v>
      </c>
      <c r="AL90" s="68">
        <f t="shared" si="55"/>
        <v>0</v>
      </c>
      <c r="AM90" s="69">
        <f t="shared" si="56"/>
        <v>0</v>
      </c>
      <c r="AN90" s="67">
        <v>0</v>
      </c>
      <c r="AO90" s="67">
        <v>0</v>
      </c>
    </row>
    <row r="91" spans="1:41" s="3" customFormat="1" ht="15">
      <c r="A91" s="58" t="s">
        <v>549</v>
      </c>
      <c r="B91" s="58" t="s">
        <v>142</v>
      </c>
      <c r="C91" s="58" t="str">
        <f t="shared" ref="C91:C117" si="57">CONCATENATE(B91," ",A91," SCHOOL DISTRICT")</f>
        <v>21036 EVALINE SCHOOL DISTRICT</v>
      </c>
      <c r="D91" s="36">
        <v>0</v>
      </c>
      <c r="E91" s="36">
        <v>0</v>
      </c>
      <c r="F91" s="36">
        <v>0</v>
      </c>
      <c r="G91" s="36">
        <v>56175.57</v>
      </c>
      <c r="H91" s="36">
        <v>5400.38</v>
      </c>
      <c r="I91" s="36">
        <v>17038.53</v>
      </c>
      <c r="J91" s="36">
        <v>18908.61</v>
      </c>
      <c r="K91" s="36">
        <v>3368.48</v>
      </c>
      <c r="L91" s="36">
        <v>1662.29</v>
      </c>
      <c r="M91" s="36">
        <v>41612.32</v>
      </c>
      <c r="N91" s="50">
        <v>0.14360000000000001</v>
      </c>
      <c r="O91" s="53">
        <v>0.51180000000000003</v>
      </c>
      <c r="P91" s="36">
        <v>0</v>
      </c>
      <c r="Q91" s="66">
        <v>0</v>
      </c>
      <c r="R91" s="66">
        <v>0</v>
      </c>
      <c r="S91" s="67">
        <v>0</v>
      </c>
      <c r="T91" s="67">
        <v>0</v>
      </c>
      <c r="U91" s="67">
        <v>0</v>
      </c>
      <c r="V91" s="36">
        <v>0</v>
      </c>
      <c r="W91" s="67">
        <v>0</v>
      </c>
      <c r="X91" s="67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68">
        <f t="shared" si="51"/>
        <v>0</v>
      </c>
      <c r="AG91" s="68">
        <f t="shared" si="52"/>
        <v>0</v>
      </c>
      <c r="AH91" s="69">
        <f t="shared" si="53"/>
        <v>0</v>
      </c>
      <c r="AI91" s="36">
        <v>0</v>
      </c>
      <c r="AJ91" s="36">
        <v>0</v>
      </c>
      <c r="AK91" s="68">
        <f t="shared" si="54"/>
        <v>0</v>
      </c>
      <c r="AL91" s="68">
        <f t="shared" si="55"/>
        <v>0</v>
      </c>
      <c r="AM91" s="69">
        <f t="shared" si="56"/>
        <v>0</v>
      </c>
      <c r="AN91" s="67">
        <v>0</v>
      </c>
      <c r="AO91" s="67">
        <v>0</v>
      </c>
    </row>
    <row r="92" spans="1:41" s="3" customFormat="1" ht="15">
      <c r="A92" s="58" t="s">
        <v>622</v>
      </c>
      <c r="B92" s="58" t="s">
        <v>216</v>
      </c>
      <c r="C92" s="58" t="str">
        <f t="shared" si="57"/>
        <v>31002 EVERETT SCHOOL DISTRICT</v>
      </c>
      <c r="D92" s="36">
        <v>0</v>
      </c>
      <c r="E92" s="36">
        <v>567756.51</v>
      </c>
      <c r="F92" s="36">
        <v>244954.37</v>
      </c>
      <c r="G92" s="36">
        <v>33200205.969999999</v>
      </c>
      <c r="H92" s="36">
        <v>7626272.5700000003</v>
      </c>
      <c r="I92" s="36">
        <v>2890825.9</v>
      </c>
      <c r="J92" s="36">
        <v>5922491.8399999999</v>
      </c>
      <c r="K92" s="36">
        <v>7143213.5300000003</v>
      </c>
      <c r="L92" s="36">
        <v>682569.48</v>
      </c>
      <c r="M92" s="36">
        <v>15934568.359999999</v>
      </c>
      <c r="N92" s="50">
        <v>3.3500000000000002E-2</v>
      </c>
      <c r="O92" s="53">
        <v>0.1187</v>
      </c>
      <c r="P92" s="36">
        <v>0</v>
      </c>
      <c r="Q92" s="66">
        <v>0</v>
      </c>
      <c r="R92" s="66">
        <v>0</v>
      </c>
      <c r="S92" s="67">
        <v>0</v>
      </c>
      <c r="T92" s="67">
        <v>0</v>
      </c>
      <c r="U92" s="67">
        <v>0</v>
      </c>
      <c r="V92" s="36">
        <v>0</v>
      </c>
      <c r="W92" s="67">
        <v>0</v>
      </c>
      <c r="X92" s="67">
        <v>0</v>
      </c>
      <c r="Y92" s="36">
        <v>0</v>
      </c>
      <c r="Z92" s="36">
        <v>211087.94</v>
      </c>
      <c r="AA92" s="36">
        <v>589034.72</v>
      </c>
      <c r="AB92" s="36">
        <v>5403274.2599999998</v>
      </c>
      <c r="AC92" s="36">
        <v>13649768.08</v>
      </c>
      <c r="AD92" s="36">
        <v>1299.1199999999999</v>
      </c>
      <c r="AE92" s="36">
        <v>12915869.74</v>
      </c>
      <c r="AF92" s="68">
        <f t="shared" si="51"/>
        <v>9942.0143943592593</v>
      </c>
      <c r="AG92" s="68">
        <f t="shared" si="52"/>
        <v>10506.933986082888</v>
      </c>
      <c r="AH92" s="69">
        <f t="shared" si="53"/>
        <v>564.91999999999996</v>
      </c>
      <c r="AI92" s="36">
        <v>523.4</v>
      </c>
      <c r="AJ92" s="36">
        <v>5088391.5999999996</v>
      </c>
      <c r="AK92" s="68">
        <f t="shared" si="54"/>
        <v>9721.8028276652658</v>
      </c>
      <c r="AL92" s="68">
        <f t="shared" si="55"/>
        <v>10323.41280091708</v>
      </c>
      <c r="AM92" s="69">
        <f t="shared" si="56"/>
        <v>601.61</v>
      </c>
      <c r="AN92" s="67">
        <v>20000</v>
      </c>
      <c r="AO92" s="67">
        <v>0</v>
      </c>
    </row>
    <row r="93" spans="1:41" s="3" customFormat="1" ht="15">
      <c r="A93" s="58" t="s">
        <v>449</v>
      </c>
      <c r="B93" s="58" t="s">
        <v>42</v>
      </c>
      <c r="C93" s="58" t="str">
        <f t="shared" si="57"/>
        <v>06114 EVERGREEN (CLARK) SCHOOL DISTRICT</v>
      </c>
      <c r="D93" s="36">
        <v>0</v>
      </c>
      <c r="E93" s="36">
        <v>267258.21999999997</v>
      </c>
      <c r="F93" s="36">
        <v>405183</v>
      </c>
      <c r="G93" s="36">
        <v>38845569.770000003</v>
      </c>
      <c r="H93" s="36">
        <v>6787504.3499999996</v>
      </c>
      <c r="I93" s="36">
        <v>4497851.18</v>
      </c>
      <c r="J93" s="36">
        <v>9200422.1799999997</v>
      </c>
      <c r="K93" s="36">
        <v>6655167.7699999996</v>
      </c>
      <c r="L93" s="36">
        <v>726060.88</v>
      </c>
      <c r="M93" s="36">
        <v>19687004.379999999</v>
      </c>
      <c r="N93" s="50">
        <v>5.0500000000000003E-2</v>
      </c>
      <c r="O93" s="53">
        <v>7.1599999999999997E-2</v>
      </c>
      <c r="P93" s="36">
        <v>0</v>
      </c>
      <c r="Q93" s="66">
        <v>0</v>
      </c>
      <c r="R93" s="66">
        <v>0</v>
      </c>
      <c r="S93" s="67">
        <v>0</v>
      </c>
      <c r="T93" s="67">
        <v>0</v>
      </c>
      <c r="U93" s="67">
        <v>0</v>
      </c>
      <c r="V93" s="36">
        <v>0</v>
      </c>
      <c r="W93" s="67">
        <v>0</v>
      </c>
      <c r="X93" s="67">
        <v>0</v>
      </c>
      <c r="Y93" s="36">
        <v>0</v>
      </c>
      <c r="Z93" s="36">
        <v>171256.59</v>
      </c>
      <c r="AA93" s="36">
        <v>257588.5</v>
      </c>
      <c r="AB93" s="36">
        <v>1907290.69</v>
      </c>
      <c r="AC93" s="36">
        <v>20360876.390000001</v>
      </c>
      <c r="AD93" s="36">
        <v>2083.9899999999998</v>
      </c>
      <c r="AE93" s="36">
        <v>19563067.02</v>
      </c>
      <c r="AF93" s="68">
        <f t="shared" si="51"/>
        <v>9387.3132884514816</v>
      </c>
      <c r="AG93" s="68">
        <f t="shared" si="52"/>
        <v>9770.1411187193808</v>
      </c>
      <c r="AH93" s="69">
        <f t="shared" si="53"/>
        <v>382.83</v>
      </c>
      <c r="AI93" s="36">
        <v>195.75</v>
      </c>
      <c r="AJ93" s="36">
        <v>1794528.5</v>
      </c>
      <c r="AK93" s="68">
        <f t="shared" si="54"/>
        <v>9167.4508301404858</v>
      </c>
      <c r="AL93" s="68">
        <f t="shared" si="55"/>
        <v>9743.5028863346106</v>
      </c>
      <c r="AM93" s="69">
        <f t="shared" si="56"/>
        <v>576.04999999999995</v>
      </c>
      <c r="AN93" s="67">
        <v>0</v>
      </c>
      <c r="AO93" s="67">
        <v>0</v>
      </c>
    </row>
    <row r="94" spans="1:41" s="3" customFormat="1" ht="15">
      <c r="A94" s="58" t="s">
        <v>783</v>
      </c>
      <c r="B94" s="58" t="s">
        <v>251</v>
      </c>
      <c r="C94" s="58" t="str">
        <f t="shared" si="57"/>
        <v>33205 EVERGREEN (STEVENS) SCHOOL DISTRICT</v>
      </c>
      <c r="D94" s="36">
        <v>0</v>
      </c>
      <c r="E94" s="36">
        <v>0</v>
      </c>
      <c r="F94" s="36">
        <v>0</v>
      </c>
      <c r="G94" s="36">
        <v>55734.83</v>
      </c>
      <c r="H94" s="36">
        <v>3284.25</v>
      </c>
      <c r="I94" s="36">
        <v>9973.76</v>
      </c>
      <c r="J94" s="36">
        <v>18804.7</v>
      </c>
      <c r="K94" s="36">
        <v>0</v>
      </c>
      <c r="L94" s="36">
        <v>0</v>
      </c>
      <c r="M94" s="36">
        <v>0</v>
      </c>
      <c r="N94" s="50">
        <v>8.1299999999999997E-2</v>
      </c>
      <c r="O94" s="53">
        <v>0.25309999999999999</v>
      </c>
      <c r="P94" s="36">
        <v>0</v>
      </c>
      <c r="Q94" s="66">
        <v>0</v>
      </c>
      <c r="R94" s="66">
        <v>0</v>
      </c>
      <c r="S94" s="67">
        <v>0</v>
      </c>
      <c r="T94" s="67">
        <v>0</v>
      </c>
      <c r="U94" s="67">
        <v>0</v>
      </c>
      <c r="V94" s="36">
        <v>0</v>
      </c>
      <c r="W94" s="67">
        <v>0</v>
      </c>
      <c r="X94" s="67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68">
        <f t="shared" si="51"/>
        <v>0</v>
      </c>
      <c r="AG94" s="68">
        <f t="shared" si="52"/>
        <v>0</v>
      </c>
      <c r="AH94" s="69">
        <f t="shared" si="53"/>
        <v>0</v>
      </c>
      <c r="AI94" s="36">
        <v>0</v>
      </c>
      <c r="AJ94" s="36">
        <v>0</v>
      </c>
      <c r="AK94" s="68">
        <f t="shared" si="54"/>
        <v>0</v>
      </c>
      <c r="AL94" s="68">
        <f t="shared" si="55"/>
        <v>0</v>
      </c>
      <c r="AM94" s="69">
        <f t="shared" si="56"/>
        <v>0</v>
      </c>
      <c r="AN94" s="67">
        <v>0</v>
      </c>
      <c r="AO94" s="67">
        <v>0</v>
      </c>
    </row>
    <row r="95" spans="1:41" s="3" customFormat="1" ht="15">
      <c r="A95" s="58" t="s">
        <v>509</v>
      </c>
      <c r="B95" s="58" t="s">
        <v>102</v>
      </c>
      <c r="C95" s="58" t="str">
        <f t="shared" si="57"/>
        <v>17210 FEDERAL WAY SCHOOL DISTRICT</v>
      </c>
      <c r="D95" s="36">
        <v>0</v>
      </c>
      <c r="E95" s="36">
        <v>224941.82</v>
      </c>
      <c r="F95" s="36">
        <v>37552.400000000001</v>
      </c>
      <c r="G95" s="36">
        <v>35330203.200000003</v>
      </c>
      <c r="H95" s="36">
        <v>7490483.3700000001</v>
      </c>
      <c r="I95" s="36">
        <v>6688710.7199999997</v>
      </c>
      <c r="J95" s="36">
        <v>11043968.800000001</v>
      </c>
      <c r="K95" s="36">
        <v>11229946.220000001</v>
      </c>
      <c r="L95" s="36">
        <v>686863.07</v>
      </c>
      <c r="M95" s="36">
        <v>14589647.76</v>
      </c>
      <c r="N95" s="50">
        <v>3.2800000000000003E-2</v>
      </c>
      <c r="O95" s="53">
        <v>0.1444</v>
      </c>
      <c r="P95" s="36">
        <v>0</v>
      </c>
      <c r="Q95" s="66">
        <v>0</v>
      </c>
      <c r="R95" s="66">
        <v>0</v>
      </c>
      <c r="S95" s="67">
        <v>0</v>
      </c>
      <c r="T95" s="67">
        <v>0</v>
      </c>
      <c r="U95" s="67">
        <v>0</v>
      </c>
      <c r="V95" s="36">
        <v>0</v>
      </c>
      <c r="W95" s="67">
        <v>0</v>
      </c>
      <c r="X95" s="67">
        <v>0</v>
      </c>
      <c r="Y95" s="36">
        <v>0</v>
      </c>
      <c r="Z95" s="36">
        <v>80859.960000000006</v>
      </c>
      <c r="AA95" s="36">
        <v>288217.86</v>
      </c>
      <c r="AB95" s="36">
        <v>1124927.8</v>
      </c>
      <c r="AC95" s="36">
        <v>12190415.300000001</v>
      </c>
      <c r="AD95" s="36">
        <v>1170.18</v>
      </c>
      <c r="AE95" s="36">
        <v>11206945.060000001</v>
      </c>
      <c r="AF95" s="68">
        <f t="shared" si="51"/>
        <v>9577.1121195029828</v>
      </c>
      <c r="AG95" s="68">
        <f t="shared" si="52"/>
        <v>10417.55567519527</v>
      </c>
      <c r="AH95" s="69">
        <f t="shared" si="53"/>
        <v>840.44</v>
      </c>
      <c r="AI95" s="36">
        <v>113.19</v>
      </c>
      <c r="AJ95" s="36">
        <v>1059201.73</v>
      </c>
      <c r="AK95" s="68">
        <f t="shared" si="54"/>
        <v>9357.7323968548462</v>
      </c>
      <c r="AL95" s="68">
        <f t="shared" si="55"/>
        <v>9938.4026857496247</v>
      </c>
      <c r="AM95" s="69">
        <f t="shared" si="56"/>
        <v>580.66999999999996</v>
      </c>
      <c r="AN95" s="67">
        <v>0</v>
      </c>
      <c r="AO95" s="67">
        <v>0</v>
      </c>
    </row>
    <row r="96" spans="1:41" s="3" customFormat="1" ht="15">
      <c r="A96" s="58" t="s">
        <v>676</v>
      </c>
      <c r="B96" s="58" t="s">
        <v>273</v>
      </c>
      <c r="C96" s="58" t="str">
        <f t="shared" si="57"/>
        <v>37502 FERNDALE SCHOOL DISTRICT</v>
      </c>
      <c r="D96" s="36">
        <v>0</v>
      </c>
      <c r="E96" s="36">
        <v>52969.74</v>
      </c>
      <c r="F96" s="36">
        <v>0</v>
      </c>
      <c r="G96" s="36">
        <v>8241236.5700000003</v>
      </c>
      <c r="H96" s="36">
        <v>1562813.26</v>
      </c>
      <c r="I96" s="36">
        <v>730680.29</v>
      </c>
      <c r="J96" s="36">
        <v>1682601.07</v>
      </c>
      <c r="K96" s="36">
        <v>825109.79</v>
      </c>
      <c r="L96" s="36">
        <v>144542.32</v>
      </c>
      <c r="M96" s="36">
        <v>3754052.39</v>
      </c>
      <c r="N96" s="50">
        <v>2.4199999999999999E-2</v>
      </c>
      <c r="O96" s="53">
        <v>0.1399</v>
      </c>
      <c r="P96" s="36">
        <v>0</v>
      </c>
      <c r="Q96" s="66">
        <v>0</v>
      </c>
      <c r="R96" s="66">
        <v>0</v>
      </c>
      <c r="S96" s="67">
        <v>0</v>
      </c>
      <c r="T96" s="67">
        <v>0</v>
      </c>
      <c r="U96" s="67">
        <v>0</v>
      </c>
      <c r="V96" s="36">
        <v>0</v>
      </c>
      <c r="W96" s="67">
        <v>0</v>
      </c>
      <c r="X96" s="67">
        <v>0</v>
      </c>
      <c r="Y96" s="36">
        <v>0</v>
      </c>
      <c r="Z96" s="36">
        <v>12416.04</v>
      </c>
      <c r="AA96" s="36">
        <v>226385.48</v>
      </c>
      <c r="AB96" s="36">
        <v>107697.05</v>
      </c>
      <c r="AC96" s="36">
        <v>3076595.86</v>
      </c>
      <c r="AD96" s="36">
        <v>300.27</v>
      </c>
      <c r="AE96" s="36">
        <v>2793613.21</v>
      </c>
      <c r="AF96" s="68">
        <f t="shared" si="51"/>
        <v>9303.6707296766253</v>
      </c>
      <c r="AG96" s="68">
        <f t="shared" si="52"/>
        <v>10246.098045092751</v>
      </c>
      <c r="AH96" s="69">
        <f t="shared" si="53"/>
        <v>942.43</v>
      </c>
      <c r="AI96" s="36">
        <v>11.16</v>
      </c>
      <c r="AJ96" s="36">
        <v>101342.56</v>
      </c>
      <c r="AK96" s="68">
        <f t="shared" si="54"/>
        <v>9080.8745519713266</v>
      </c>
      <c r="AL96" s="68">
        <f t="shared" si="55"/>
        <v>9650.2732974910396</v>
      </c>
      <c r="AM96" s="69">
        <f t="shared" si="56"/>
        <v>569.4</v>
      </c>
      <c r="AN96" s="67">
        <v>0</v>
      </c>
      <c r="AO96" s="67">
        <v>0</v>
      </c>
    </row>
    <row r="97" spans="1:41" s="3" customFormat="1" ht="15">
      <c r="A97" s="58" t="s">
        <v>606</v>
      </c>
      <c r="B97" s="58" t="s">
        <v>200</v>
      </c>
      <c r="C97" s="58" t="str">
        <f t="shared" si="57"/>
        <v>27417 FIFE SCHOOL DISTRICT</v>
      </c>
      <c r="D97" s="36">
        <v>0</v>
      </c>
      <c r="E97" s="36">
        <v>0</v>
      </c>
      <c r="F97" s="36">
        <v>0</v>
      </c>
      <c r="G97" s="36">
        <v>5266361.21</v>
      </c>
      <c r="H97" s="36">
        <v>1129183.1200000001</v>
      </c>
      <c r="I97" s="36">
        <v>5966.74</v>
      </c>
      <c r="J97" s="36">
        <v>1347793.8</v>
      </c>
      <c r="K97" s="36">
        <v>1259834.6399999999</v>
      </c>
      <c r="L97" s="36">
        <v>127825.85</v>
      </c>
      <c r="M97" s="36">
        <v>3048531.52</v>
      </c>
      <c r="N97" s="50">
        <v>4.7100000000000003E-2</v>
      </c>
      <c r="O97" s="53">
        <v>0.1497</v>
      </c>
      <c r="P97" s="36">
        <v>0</v>
      </c>
      <c r="Q97" s="66">
        <v>0</v>
      </c>
      <c r="R97" s="66">
        <v>0</v>
      </c>
      <c r="S97" s="67">
        <v>0</v>
      </c>
      <c r="T97" s="67">
        <v>0</v>
      </c>
      <c r="U97" s="67">
        <v>0</v>
      </c>
      <c r="V97" s="36">
        <v>0</v>
      </c>
      <c r="W97" s="67">
        <v>0</v>
      </c>
      <c r="X97" s="67">
        <v>0</v>
      </c>
      <c r="Y97" s="36">
        <v>0</v>
      </c>
      <c r="Z97" s="36">
        <v>0.35</v>
      </c>
      <c r="AA97" s="36">
        <v>126715.99</v>
      </c>
      <c r="AB97" s="36">
        <v>566811.9</v>
      </c>
      <c r="AC97" s="36">
        <v>3172165.92</v>
      </c>
      <c r="AD97" s="36">
        <v>311.39999999999998</v>
      </c>
      <c r="AE97" s="36">
        <v>2982375.52</v>
      </c>
      <c r="AF97" s="68">
        <f t="shared" si="51"/>
        <v>9577.3138086062954</v>
      </c>
      <c r="AG97" s="68">
        <f t="shared" si="52"/>
        <v>10186.78843930636</v>
      </c>
      <c r="AH97" s="69">
        <f t="shared" si="53"/>
        <v>609.47</v>
      </c>
      <c r="AI97" s="36">
        <v>57.04</v>
      </c>
      <c r="AJ97" s="36">
        <v>533813.4</v>
      </c>
      <c r="AK97" s="68">
        <f t="shared" si="54"/>
        <v>9358.579943899018</v>
      </c>
      <c r="AL97" s="68">
        <f t="shared" si="55"/>
        <v>9937.0950210378687</v>
      </c>
      <c r="AM97" s="69">
        <f t="shared" si="56"/>
        <v>578.52</v>
      </c>
      <c r="AN97" s="67">
        <v>0</v>
      </c>
      <c r="AO97" s="67">
        <v>0</v>
      </c>
    </row>
    <row r="98" spans="1:41" s="3" customFormat="1" ht="15">
      <c r="A98" s="58" t="s">
        <v>429</v>
      </c>
      <c r="B98" s="58" t="s">
        <v>22</v>
      </c>
      <c r="C98" s="58" t="str">
        <f t="shared" si="57"/>
        <v>03053 FINLEY SCHOOL DISTRICT</v>
      </c>
      <c r="D98" s="36">
        <v>0</v>
      </c>
      <c r="E98" s="36">
        <v>29819.41</v>
      </c>
      <c r="F98" s="36">
        <v>24331.5</v>
      </c>
      <c r="G98" s="36">
        <v>1258193.6200000001</v>
      </c>
      <c r="H98" s="36">
        <v>242273.14</v>
      </c>
      <c r="I98" s="36">
        <v>265967.09000000003</v>
      </c>
      <c r="J98" s="36">
        <v>417651.43</v>
      </c>
      <c r="K98" s="36">
        <v>273867.92</v>
      </c>
      <c r="L98" s="36">
        <v>25557.77</v>
      </c>
      <c r="M98" s="36">
        <v>686368.05</v>
      </c>
      <c r="N98" s="50">
        <v>2.1700000000000001E-2</v>
      </c>
      <c r="O98" s="53">
        <v>0.17879999999999999</v>
      </c>
      <c r="P98" s="36">
        <v>0</v>
      </c>
      <c r="Q98" s="66">
        <v>0</v>
      </c>
      <c r="R98" s="66">
        <v>0</v>
      </c>
      <c r="S98" s="67">
        <v>0</v>
      </c>
      <c r="T98" s="67">
        <v>0</v>
      </c>
      <c r="U98" s="67">
        <v>0</v>
      </c>
      <c r="V98" s="36">
        <v>0</v>
      </c>
      <c r="W98" s="67">
        <v>0</v>
      </c>
      <c r="X98" s="67">
        <v>0</v>
      </c>
      <c r="Y98" s="36">
        <v>0</v>
      </c>
      <c r="Z98" s="36">
        <v>3084</v>
      </c>
      <c r="AA98" s="36">
        <v>74717.98</v>
      </c>
      <c r="AB98" s="36">
        <v>38591.050000000003</v>
      </c>
      <c r="AC98" s="36">
        <v>687217.18</v>
      </c>
      <c r="AD98" s="36">
        <v>74.099999999999994</v>
      </c>
      <c r="AE98" s="36">
        <v>655608.14</v>
      </c>
      <c r="AF98" s="68">
        <f t="shared" si="51"/>
        <v>8847.6132253711203</v>
      </c>
      <c r="AG98" s="68">
        <f t="shared" si="52"/>
        <v>9274.1859649122816</v>
      </c>
      <c r="AH98" s="69">
        <f t="shared" si="53"/>
        <v>426.57</v>
      </c>
      <c r="AI98" s="36">
        <v>4.21</v>
      </c>
      <c r="AJ98" s="36">
        <v>36302.86</v>
      </c>
      <c r="AK98" s="68">
        <f t="shared" si="54"/>
        <v>8623.0071258907374</v>
      </c>
      <c r="AL98" s="68">
        <f t="shared" si="55"/>
        <v>9166.5201900237535</v>
      </c>
      <c r="AM98" s="69">
        <f t="shared" si="56"/>
        <v>543.51</v>
      </c>
      <c r="AN98" s="67">
        <v>0</v>
      </c>
      <c r="AO98" s="67">
        <v>0</v>
      </c>
    </row>
    <row r="99" spans="1:41" s="3" customFormat="1" ht="15">
      <c r="A99" s="58" t="s">
        <v>602</v>
      </c>
      <c r="B99" s="58" t="s">
        <v>196</v>
      </c>
      <c r="C99" s="58" t="str">
        <f t="shared" si="57"/>
        <v>27402 FRANKLIN PIERCE SCHOOL DISTRICT</v>
      </c>
      <c r="D99" s="36">
        <v>0</v>
      </c>
      <c r="E99" s="36">
        <v>0</v>
      </c>
      <c r="F99" s="36">
        <v>0</v>
      </c>
      <c r="G99" s="36">
        <v>12490006.279999999</v>
      </c>
      <c r="H99" s="36">
        <v>2655039</v>
      </c>
      <c r="I99" s="36">
        <v>2313958.5299999998</v>
      </c>
      <c r="J99" s="36">
        <v>3642842.16</v>
      </c>
      <c r="K99" s="36">
        <v>1886050.56</v>
      </c>
      <c r="L99" s="36">
        <v>222683.1</v>
      </c>
      <c r="M99" s="36">
        <v>6272976.5700000003</v>
      </c>
      <c r="N99" s="50">
        <v>4.0599999999999997E-2</v>
      </c>
      <c r="O99" s="53">
        <v>0.14860000000000001</v>
      </c>
      <c r="P99" s="36">
        <v>0</v>
      </c>
      <c r="Q99" s="66">
        <v>0</v>
      </c>
      <c r="R99" s="66">
        <v>0</v>
      </c>
      <c r="S99" s="67">
        <v>0</v>
      </c>
      <c r="T99" s="67">
        <v>0</v>
      </c>
      <c r="U99" s="67">
        <v>0</v>
      </c>
      <c r="V99" s="36">
        <v>0</v>
      </c>
      <c r="W99" s="67">
        <v>0</v>
      </c>
      <c r="X99" s="67">
        <v>0</v>
      </c>
      <c r="Y99" s="36">
        <v>0</v>
      </c>
      <c r="Z99" s="36">
        <v>93196.3</v>
      </c>
      <c r="AA99" s="36">
        <v>63032.91</v>
      </c>
      <c r="AB99" s="36">
        <v>892750.2</v>
      </c>
      <c r="AC99" s="36">
        <v>5044738.8600000003</v>
      </c>
      <c r="AD99" s="36">
        <v>515.86</v>
      </c>
      <c r="AE99" s="36">
        <v>4752454.8600000003</v>
      </c>
      <c r="AF99" s="68">
        <f t="shared" si="51"/>
        <v>9212.6834024735399</v>
      </c>
      <c r="AG99" s="68">
        <f t="shared" si="52"/>
        <v>9779.2789904237579</v>
      </c>
      <c r="AH99" s="69">
        <f t="shared" si="53"/>
        <v>566.6</v>
      </c>
      <c r="AI99" s="36">
        <v>93.45</v>
      </c>
      <c r="AJ99" s="36">
        <v>840548.72</v>
      </c>
      <c r="AK99" s="68">
        <f t="shared" si="54"/>
        <v>8994.6358480470826</v>
      </c>
      <c r="AL99" s="68">
        <f t="shared" si="55"/>
        <v>9553.2391653290524</v>
      </c>
      <c r="AM99" s="69">
        <f t="shared" si="56"/>
        <v>558.6</v>
      </c>
      <c r="AN99" s="67">
        <v>0</v>
      </c>
      <c r="AO99" s="67">
        <v>0</v>
      </c>
    </row>
    <row r="100" spans="1:41" s="3" customFormat="1" ht="15">
      <c r="A100" s="58" t="s">
        <v>643</v>
      </c>
      <c r="B100" s="58" t="s">
        <v>237</v>
      </c>
      <c r="C100" s="58" t="str">
        <f t="shared" si="57"/>
        <v>32358 FREEMAN SCHOOL DISTRICT</v>
      </c>
      <c r="D100" s="36">
        <v>63387.33</v>
      </c>
      <c r="E100" s="36">
        <v>0</v>
      </c>
      <c r="F100" s="36">
        <v>0</v>
      </c>
      <c r="G100" s="36">
        <v>1199425.26</v>
      </c>
      <c r="H100" s="36">
        <v>194230.34</v>
      </c>
      <c r="I100" s="36">
        <v>0</v>
      </c>
      <c r="J100" s="36">
        <v>128345.39</v>
      </c>
      <c r="K100" s="36">
        <v>10455.48</v>
      </c>
      <c r="L100" s="36">
        <v>26120.54</v>
      </c>
      <c r="M100" s="36">
        <v>964167.37</v>
      </c>
      <c r="N100" s="50">
        <v>3.4599999999999999E-2</v>
      </c>
      <c r="O100" s="53">
        <v>0.17019999999999999</v>
      </c>
      <c r="P100" s="36">
        <v>0</v>
      </c>
      <c r="Q100" s="66">
        <v>0</v>
      </c>
      <c r="R100" s="66">
        <v>0</v>
      </c>
      <c r="S100" s="67">
        <v>0</v>
      </c>
      <c r="T100" s="67">
        <v>0</v>
      </c>
      <c r="U100" s="67">
        <v>0</v>
      </c>
      <c r="V100" s="36">
        <v>0</v>
      </c>
      <c r="W100" s="67">
        <v>0</v>
      </c>
      <c r="X100" s="67">
        <v>0</v>
      </c>
      <c r="Y100" s="36">
        <v>0</v>
      </c>
      <c r="Z100" s="36">
        <v>0</v>
      </c>
      <c r="AA100" s="36">
        <v>1979.66</v>
      </c>
      <c r="AB100" s="36">
        <v>242138.23</v>
      </c>
      <c r="AC100" s="36">
        <v>880716.05</v>
      </c>
      <c r="AD100" s="36">
        <v>93.3</v>
      </c>
      <c r="AE100" s="36">
        <v>841850.04</v>
      </c>
      <c r="AF100" s="68">
        <f t="shared" si="51"/>
        <v>9023.0443729903545</v>
      </c>
      <c r="AG100" s="68">
        <f t="shared" si="52"/>
        <v>9439.6146838156492</v>
      </c>
      <c r="AH100" s="69">
        <f t="shared" si="53"/>
        <v>416.57</v>
      </c>
      <c r="AI100" s="36">
        <v>25.88</v>
      </c>
      <c r="AJ100" s="36">
        <v>227874.56</v>
      </c>
      <c r="AK100" s="68">
        <f t="shared" si="54"/>
        <v>8805.0448222565683</v>
      </c>
      <c r="AL100" s="68">
        <f t="shared" si="55"/>
        <v>9356.1912673879451</v>
      </c>
      <c r="AM100" s="69">
        <f t="shared" si="56"/>
        <v>551.15</v>
      </c>
      <c r="AN100" s="67">
        <v>0</v>
      </c>
      <c r="AO100" s="67">
        <v>0</v>
      </c>
    </row>
    <row r="101" spans="1:41" s="3" customFormat="1" ht="15">
      <c r="A101" s="58" t="s">
        <v>688</v>
      </c>
      <c r="B101" s="58" t="s">
        <v>285</v>
      </c>
      <c r="C101" s="58" t="str">
        <f t="shared" si="57"/>
        <v>38302 GARFIELD SCHOOL DISTRICT</v>
      </c>
      <c r="D101" s="36">
        <v>0</v>
      </c>
      <c r="E101" s="36">
        <v>0</v>
      </c>
      <c r="F101" s="36">
        <v>0</v>
      </c>
      <c r="G101" s="36">
        <v>174565.97</v>
      </c>
      <c r="H101" s="36">
        <v>18372.57</v>
      </c>
      <c r="I101" s="36">
        <v>15791.79</v>
      </c>
      <c r="J101" s="36">
        <v>44570.27</v>
      </c>
      <c r="K101" s="36">
        <v>0</v>
      </c>
      <c r="L101" s="36">
        <v>3324.59</v>
      </c>
      <c r="M101" s="36">
        <v>399301.83</v>
      </c>
      <c r="N101" s="50">
        <v>8.7800000000000003E-2</v>
      </c>
      <c r="O101" s="53">
        <v>0.27939999999999998</v>
      </c>
      <c r="P101" s="36">
        <v>0</v>
      </c>
      <c r="Q101" s="66">
        <v>0</v>
      </c>
      <c r="R101" s="66">
        <v>0</v>
      </c>
      <c r="S101" s="67">
        <v>0</v>
      </c>
      <c r="T101" s="67">
        <v>0</v>
      </c>
      <c r="U101" s="67">
        <v>0</v>
      </c>
      <c r="V101" s="36">
        <v>0</v>
      </c>
      <c r="W101" s="67">
        <v>0</v>
      </c>
      <c r="X101" s="67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88277.54</v>
      </c>
      <c r="AD101" s="36">
        <v>9.6300000000000008</v>
      </c>
      <c r="AE101" s="36">
        <v>85211.22</v>
      </c>
      <c r="AF101" s="68">
        <f t="shared" si="51"/>
        <v>8848.5171339563858</v>
      </c>
      <c r="AG101" s="68">
        <f t="shared" si="52"/>
        <v>9166.9304257528547</v>
      </c>
      <c r="AH101" s="69">
        <f t="shared" si="53"/>
        <v>318.41000000000003</v>
      </c>
      <c r="AI101" s="36">
        <v>0</v>
      </c>
      <c r="AJ101" s="36">
        <v>0</v>
      </c>
      <c r="AK101" s="68">
        <f t="shared" si="54"/>
        <v>0</v>
      </c>
      <c r="AL101" s="68">
        <f t="shared" si="55"/>
        <v>0</v>
      </c>
      <c r="AM101" s="69">
        <f t="shared" si="56"/>
        <v>0</v>
      </c>
      <c r="AN101" s="67">
        <v>0</v>
      </c>
      <c r="AO101" s="67">
        <v>0</v>
      </c>
    </row>
    <row r="102" spans="1:41" s="3" customFormat="1" ht="15">
      <c r="A102" s="58" t="s">
        <v>542</v>
      </c>
      <c r="B102" s="58" t="s">
        <v>135</v>
      </c>
      <c r="C102" s="58" t="str">
        <f t="shared" si="57"/>
        <v>20401 GLENWOOD SCHOOL DISTRICT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5267.11</v>
      </c>
      <c r="J102" s="36">
        <v>22788.3</v>
      </c>
      <c r="K102" s="36">
        <v>0</v>
      </c>
      <c r="L102" s="36">
        <v>0</v>
      </c>
      <c r="M102" s="36">
        <v>103393.54</v>
      </c>
      <c r="N102" s="50">
        <v>5.6500000000000002E-2</v>
      </c>
      <c r="O102" s="53">
        <v>0.42220000000000002</v>
      </c>
      <c r="P102" s="36">
        <v>0</v>
      </c>
      <c r="Q102" s="66">
        <v>0</v>
      </c>
      <c r="R102" s="66">
        <v>0</v>
      </c>
      <c r="S102" s="67">
        <v>0</v>
      </c>
      <c r="T102" s="67">
        <v>0</v>
      </c>
      <c r="U102" s="67">
        <v>0</v>
      </c>
      <c r="V102" s="36">
        <v>0</v>
      </c>
      <c r="W102" s="67">
        <v>0</v>
      </c>
      <c r="X102" s="67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68">
        <f t="shared" si="51"/>
        <v>0</v>
      </c>
      <c r="AG102" s="68">
        <f t="shared" si="52"/>
        <v>0</v>
      </c>
      <c r="AH102" s="69">
        <f t="shared" si="53"/>
        <v>0</v>
      </c>
      <c r="AI102" s="36">
        <v>0</v>
      </c>
      <c r="AJ102" s="36">
        <v>0</v>
      </c>
      <c r="AK102" s="68">
        <f t="shared" si="54"/>
        <v>0</v>
      </c>
      <c r="AL102" s="68">
        <f t="shared" si="55"/>
        <v>0</v>
      </c>
      <c r="AM102" s="69">
        <f t="shared" si="56"/>
        <v>0</v>
      </c>
      <c r="AN102" s="67">
        <v>0</v>
      </c>
      <c r="AO102" s="67">
        <v>0</v>
      </c>
    </row>
    <row r="103" spans="1:41" s="3" customFormat="1" ht="15">
      <c r="A103" s="58" t="s">
        <v>545</v>
      </c>
      <c r="B103" s="58" t="s">
        <v>138</v>
      </c>
      <c r="C103" s="58" t="str">
        <f t="shared" si="57"/>
        <v>20404 GOLDENDALE SCHOOL DISTRICT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258071.2</v>
      </c>
      <c r="J103" s="36">
        <v>902729.68</v>
      </c>
      <c r="K103" s="36">
        <v>202721.45</v>
      </c>
      <c r="L103" s="36">
        <v>87997.7</v>
      </c>
      <c r="M103" s="36">
        <v>689549.24</v>
      </c>
      <c r="N103" s="50">
        <v>9.5600000000000004E-2</v>
      </c>
      <c r="O103" s="53">
        <v>8.4699999999999998E-2</v>
      </c>
      <c r="P103" s="36">
        <v>0</v>
      </c>
      <c r="Q103" s="66">
        <v>0</v>
      </c>
      <c r="R103" s="66">
        <v>0</v>
      </c>
      <c r="S103" s="67">
        <v>0</v>
      </c>
      <c r="T103" s="67">
        <v>0</v>
      </c>
      <c r="U103" s="67">
        <v>0</v>
      </c>
      <c r="V103" s="36">
        <v>0</v>
      </c>
      <c r="W103" s="67">
        <v>0</v>
      </c>
      <c r="X103" s="67">
        <v>0</v>
      </c>
      <c r="Y103" s="36">
        <v>0</v>
      </c>
      <c r="Z103" s="36">
        <v>19949.060000000001</v>
      </c>
      <c r="AA103" s="36">
        <v>60956.61</v>
      </c>
      <c r="AB103" s="36">
        <v>187388.78</v>
      </c>
      <c r="AC103" s="36">
        <v>829136.33</v>
      </c>
      <c r="AD103" s="36">
        <v>86.09</v>
      </c>
      <c r="AE103" s="36">
        <v>761784.04</v>
      </c>
      <c r="AF103" s="68">
        <f t="shared" si="51"/>
        <v>8848.6936926472299</v>
      </c>
      <c r="AG103" s="68">
        <f t="shared" si="52"/>
        <v>9631.0411197583908</v>
      </c>
      <c r="AH103" s="69">
        <f t="shared" si="53"/>
        <v>782.35</v>
      </c>
      <c r="AI103" s="36">
        <v>20.420000000000002</v>
      </c>
      <c r="AJ103" s="36">
        <v>176214.71</v>
      </c>
      <c r="AK103" s="68">
        <f t="shared" si="54"/>
        <v>8629.5156709108705</v>
      </c>
      <c r="AL103" s="68">
        <f t="shared" si="55"/>
        <v>9176.7277179236044</v>
      </c>
      <c r="AM103" s="69">
        <f t="shared" si="56"/>
        <v>547.21</v>
      </c>
      <c r="AN103" s="67">
        <v>0</v>
      </c>
      <c r="AO103" s="67">
        <v>0</v>
      </c>
    </row>
    <row r="104" spans="1:41" s="3" customFormat="1" ht="15">
      <c r="A104" s="58" t="s">
        <v>486</v>
      </c>
      <c r="B104" s="58" t="s">
        <v>79</v>
      </c>
      <c r="C104" s="58" t="str">
        <f t="shared" si="57"/>
        <v>13301 GRAND COULEE DAM SCHOOL DISTRICT</v>
      </c>
      <c r="D104" s="36">
        <v>0</v>
      </c>
      <c r="E104" s="36">
        <v>33618.379999999997</v>
      </c>
      <c r="F104" s="36">
        <v>14490.88</v>
      </c>
      <c r="G104" s="36">
        <v>1089939.8700000001</v>
      </c>
      <c r="H104" s="36">
        <v>166209.25</v>
      </c>
      <c r="I104" s="36">
        <v>222227.96</v>
      </c>
      <c r="J104" s="36">
        <v>355938.74</v>
      </c>
      <c r="K104" s="36">
        <v>0</v>
      </c>
      <c r="L104" s="36">
        <v>20882.560000000001</v>
      </c>
      <c r="M104" s="36">
        <v>583617.53</v>
      </c>
      <c r="N104" s="50">
        <v>5.79E-2</v>
      </c>
      <c r="O104" s="53">
        <v>0.22620000000000001</v>
      </c>
      <c r="P104" s="36">
        <v>0</v>
      </c>
      <c r="Q104" s="66">
        <v>0</v>
      </c>
      <c r="R104" s="66">
        <v>0</v>
      </c>
      <c r="S104" s="67">
        <v>0</v>
      </c>
      <c r="T104" s="67">
        <v>0</v>
      </c>
      <c r="U104" s="67">
        <v>0</v>
      </c>
      <c r="V104" s="36">
        <v>0</v>
      </c>
      <c r="W104" s="67">
        <v>0</v>
      </c>
      <c r="X104" s="67">
        <v>0</v>
      </c>
      <c r="Y104" s="36">
        <v>0</v>
      </c>
      <c r="Z104" s="36">
        <v>10707.86</v>
      </c>
      <c r="AA104" s="36">
        <v>20837.77</v>
      </c>
      <c r="AB104" s="36">
        <v>93682.26</v>
      </c>
      <c r="AC104" s="36">
        <v>311412.89</v>
      </c>
      <c r="AD104" s="36">
        <v>32.909999999999997</v>
      </c>
      <c r="AE104" s="36">
        <v>291030.21000000002</v>
      </c>
      <c r="AF104" s="68">
        <f t="shared" si="51"/>
        <v>8843.2151321786714</v>
      </c>
      <c r="AG104" s="68">
        <f t="shared" si="52"/>
        <v>9462.5612275903986</v>
      </c>
      <c r="AH104" s="69">
        <f t="shared" si="53"/>
        <v>619.35</v>
      </c>
      <c r="AI104" s="36">
        <v>10.220000000000001</v>
      </c>
      <c r="AJ104" s="36">
        <v>88217.1</v>
      </c>
      <c r="AK104" s="68">
        <f t="shared" si="54"/>
        <v>8631.8101761252437</v>
      </c>
      <c r="AL104" s="68">
        <f t="shared" si="55"/>
        <v>9166.5616438356155</v>
      </c>
      <c r="AM104" s="69">
        <f t="shared" si="56"/>
        <v>534.75</v>
      </c>
      <c r="AN104" s="67">
        <v>0</v>
      </c>
      <c r="AO104" s="67">
        <v>0</v>
      </c>
    </row>
    <row r="105" spans="1:41" s="3" customFormat="1" ht="15">
      <c r="A105" s="58" t="s">
        <v>700</v>
      </c>
      <c r="B105" s="58" t="s">
        <v>298</v>
      </c>
      <c r="C105" s="58" t="str">
        <f t="shared" si="57"/>
        <v>39200 GRANDVIEW SCHOOL DISTRICT</v>
      </c>
      <c r="D105" s="36">
        <v>0</v>
      </c>
      <c r="E105" s="36">
        <v>13643.9</v>
      </c>
      <c r="F105" s="36">
        <v>0</v>
      </c>
      <c r="G105" s="36">
        <v>6026746.2599999998</v>
      </c>
      <c r="H105" s="36">
        <v>1501261.34</v>
      </c>
      <c r="I105" s="36">
        <v>1059297</v>
      </c>
      <c r="J105" s="36">
        <v>2030388.54</v>
      </c>
      <c r="K105" s="36">
        <v>1834700.66</v>
      </c>
      <c r="L105" s="36">
        <v>104412.86</v>
      </c>
      <c r="M105" s="36">
        <v>1364212.45</v>
      </c>
      <c r="N105" s="50">
        <v>6.5000000000000002E-2</v>
      </c>
      <c r="O105" s="53">
        <v>0.18410000000000001</v>
      </c>
      <c r="P105" s="36">
        <v>0</v>
      </c>
      <c r="Q105" s="66">
        <v>0</v>
      </c>
      <c r="R105" s="66">
        <v>0</v>
      </c>
      <c r="S105" s="67">
        <v>0</v>
      </c>
      <c r="T105" s="67">
        <v>0</v>
      </c>
      <c r="U105" s="67">
        <v>0</v>
      </c>
      <c r="V105" s="36">
        <v>0</v>
      </c>
      <c r="W105" s="67">
        <v>0</v>
      </c>
      <c r="X105" s="67">
        <v>0</v>
      </c>
      <c r="Y105" s="36">
        <v>0</v>
      </c>
      <c r="Z105" s="36">
        <v>40345.69</v>
      </c>
      <c r="AA105" s="36">
        <v>144896.98000000001</v>
      </c>
      <c r="AB105" s="36">
        <v>394635.88</v>
      </c>
      <c r="AC105" s="36">
        <v>2859069.83</v>
      </c>
      <c r="AD105" s="36">
        <v>303.20999999999998</v>
      </c>
      <c r="AE105" s="36">
        <v>2682669.59</v>
      </c>
      <c r="AF105" s="68">
        <f t="shared" si="51"/>
        <v>8847.5630421160258</v>
      </c>
      <c r="AG105" s="68">
        <f t="shared" si="52"/>
        <v>9429.3388410672487</v>
      </c>
      <c r="AH105" s="69">
        <f t="shared" si="53"/>
        <v>581.78</v>
      </c>
      <c r="AI105" s="36">
        <v>43.05</v>
      </c>
      <c r="AJ105" s="36">
        <v>371710.45</v>
      </c>
      <c r="AK105" s="68">
        <f t="shared" si="54"/>
        <v>8634.389082462254</v>
      </c>
      <c r="AL105" s="68">
        <f t="shared" si="55"/>
        <v>9166.9193960511038</v>
      </c>
      <c r="AM105" s="69">
        <f t="shared" si="56"/>
        <v>532.53</v>
      </c>
      <c r="AN105" s="67">
        <v>0</v>
      </c>
      <c r="AO105" s="67">
        <v>0</v>
      </c>
    </row>
    <row r="106" spans="1:41" s="3" customFormat="1" ht="15">
      <c r="A106" s="58" t="s">
        <v>704</v>
      </c>
      <c r="B106" s="58" t="s">
        <v>302</v>
      </c>
      <c r="C106" s="58" t="str">
        <f t="shared" si="57"/>
        <v>39204 GRANGER SCHOOL DISTRICT</v>
      </c>
      <c r="D106" s="36">
        <v>111421.95</v>
      </c>
      <c r="E106" s="36">
        <v>0</v>
      </c>
      <c r="F106" s="36">
        <v>0</v>
      </c>
      <c r="G106" s="36">
        <v>2207100.0099999998</v>
      </c>
      <c r="H106" s="36">
        <v>426585.27</v>
      </c>
      <c r="I106" s="36">
        <v>425443.45</v>
      </c>
      <c r="J106" s="36">
        <v>843510.44</v>
      </c>
      <c r="K106" s="36">
        <v>1123644.4099999999</v>
      </c>
      <c r="L106" s="36">
        <v>40830.1</v>
      </c>
      <c r="M106" s="36">
        <v>662588.6</v>
      </c>
      <c r="N106" s="50">
        <v>3.5999999999999997E-2</v>
      </c>
      <c r="O106" s="53">
        <v>0.13159999999999999</v>
      </c>
      <c r="P106" s="36">
        <v>0</v>
      </c>
      <c r="Q106" s="66">
        <v>0</v>
      </c>
      <c r="R106" s="66">
        <v>0</v>
      </c>
      <c r="S106" s="67">
        <v>0</v>
      </c>
      <c r="T106" s="67">
        <v>0</v>
      </c>
      <c r="U106" s="67">
        <v>0</v>
      </c>
      <c r="V106" s="36">
        <v>0</v>
      </c>
      <c r="W106" s="67">
        <v>0</v>
      </c>
      <c r="X106" s="67">
        <v>0</v>
      </c>
      <c r="Y106" s="36">
        <v>0</v>
      </c>
      <c r="Z106" s="36">
        <v>0</v>
      </c>
      <c r="AA106" s="36">
        <v>0</v>
      </c>
      <c r="AB106" s="36">
        <v>269525.40000000002</v>
      </c>
      <c r="AC106" s="36">
        <v>1236572.3400000001</v>
      </c>
      <c r="AD106" s="36">
        <v>134.69999999999999</v>
      </c>
      <c r="AE106" s="36">
        <v>1191806.4099999999</v>
      </c>
      <c r="AF106" s="68">
        <f t="shared" si="51"/>
        <v>8847.8575352635489</v>
      </c>
      <c r="AG106" s="68">
        <f t="shared" si="52"/>
        <v>9180.1955456570176</v>
      </c>
      <c r="AH106" s="69">
        <f t="shared" si="53"/>
        <v>332.34</v>
      </c>
      <c r="AI106" s="36">
        <v>29.41</v>
      </c>
      <c r="AJ106" s="36">
        <v>253741.04</v>
      </c>
      <c r="AK106" s="68">
        <f t="shared" si="54"/>
        <v>8627.7130227813668</v>
      </c>
      <c r="AL106" s="68">
        <f t="shared" si="55"/>
        <v>9164.4134648078889</v>
      </c>
      <c r="AM106" s="69">
        <f t="shared" si="56"/>
        <v>536.70000000000005</v>
      </c>
      <c r="AN106" s="67">
        <v>0</v>
      </c>
      <c r="AO106" s="67">
        <v>0</v>
      </c>
    </row>
    <row r="107" spans="1:41" s="3" customFormat="1" ht="15">
      <c r="A107" s="58" t="s">
        <v>634</v>
      </c>
      <c r="B107" s="58" t="s">
        <v>228</v>
      </c>
      <c r="C107" s="58" t="str">
        <f t="shared" si="57"/>
        <v>31332 GRANITE FALLS SCHOOL DISTRICT</v>
      </c>
      <c r="D107" s="36">
        <v>0</v>
      </c>
      <c r="E107" s="36">
        <v>41490.53</v>
      </c>
      <c r="F107" s="36">
        <v>0</v>
      </c>
      <c r="G107" s="36">
        <v>4504659.49</v>
      </c>
      <c r="H107" s="36">
        <v>996490.39</v>
      </c>
      <c r="I107" s="36">
        <v>85599.69</v>
      </c>
      <c r="J107" s="36">
        <v>695927.92</v>
      </c>
      <c r="K107" s="36">
        <v>163468.48000000001</v>
      </c>
      <c r="L107" s="36">
        <v>74584.179999999993</v>
      </c>
      <c r="M107" s="36">
        <v>1602167.26</v>
      </c>
      <c r="N107" s="50">
        <v>4.2200000000000001E-2</v>
      </c>
      <c r="O107" s="53">
        <v>0.1646</v>
      </c>
      <c r="P107" s="36">
        <v>0</v>
      </c>
      <c r="Q107" s="66">
        <v>0</v>
      </c>
      <c r="R107" s="66">
        <v>0</v>
      </c>
      <c r="S107" s="67">
        <v>0</v>
      </c>
      <c r="T107" s="67">
        <v>0</v>
      </c>
      <c r="U107" s="67">
        <v>0</v>
      </c>
      <c r="V107" s="36">
        <v>0</v>
      </c>
      <c r="W107" s="67">
        <v>0</v>
      </c>
      <c r="X107" s="67">
        <v>0</v>
      </c>
      <c r="Y107" s="36">
        <v>0</v>
      </c>
      <c r="Z107" s="36">
        <v>0</v>
      </c>
      <c r="AA107" s="36">
        <v>0</v>
      </c>
      <c r="AB107" s="36">
        <v>444094.13</v>
      </c>
      <c r="AC107" s="36">
        <v>878332.77</v>
      </c>
      <c r="AD107" s="36">
        <v>86.65</v>
      </c>
      <c r="AE107" s="36">
        <v>829919.31</v>
      </c>
      <c r="AF107" s="68">
        <f t="shared" si="51"/>
        <v>9577.8339296018457</v>
      </c>
      <c r="AG107" s="68">
        <f t="shared" si="52"/>
        <v>10136.558222735141</v>
      </c>
      <c r="AH107" s="69">
        <f t="shared" si="53"/>
        <v>558.72</v>
      </c>
      <c r="AI107" s="36">
        <v>44.69</v>
      </c>
      <c r="AJ107" s="36">
        <v>418196.47999999998</v>
      </c>
      <c r="AK107" s="68">
        <f t="shared" si="54"/>
        <v>9357.7194003132699</v>
      </c>
      <c r="AL107" s="68">
        <f t="shared" si="55"/>
        <v>9937.2148131573067</v>
      </c>
      <c r="AM107" s="69">
        <f t="shared" si="56"/>
        <v>579.5</v>
      </c>
      <c r="AN107" s="67">
        <v>0</v>
      </c>
      <c r="AO107" s="67">
        <v>0</v>
      </c>
    </row>
    <row r="108" spans="1:41" s="3" customFormat="1" ht="15">
      <c r="A108" s="58" t="s">
        <v>570</v>
      </c>
      <c r="B108" s="58" t="s">
        <v>163</v>
      </c>
      <c r="C108" s="58" t="str">
        <f t="shared" si="57"/>
        <v>23054 GRAPEVIEW SCHOOL DISTRICT</v>
      </c>
      <c r="D108" s="36">
        <v>0</v>
      </c>
      <c r="E108" s="36">
        <v>0</v>
      </c>
      <c r="F108" s="36">
        <v>0</v>
      </c>
      <c r="G108" s="36">
        <v>414546.85</v>
      </c>
      <c r="H108" s="36">
        <v>27716.11</v>
      </c>
      <c r="I108" s="36">
        <v>0</v>
      </c>
      <c r="J108" s="36">
        <v>78928.429999999993</v>
      </c>
      <c r="K108" s="36">
        <v>0</v>
      </c>
      <c r="L108" s="36">
        <v>6996.43</v>
      </c>
      <c r="M108" s="36">
        <v>189834.7</v>
      </c>
      <c r="N108" s="50">
        <v>9.1999999999999998E-2</v>
      </c>
      <c r="O108" s="53">
        <v>0.24579999999999999</v>
      </c>
      <c r="P108" s="36">
        <v>0</v>
      </c>
      <c r="Q108" s="66">
        <v>0</v>
      </c>
      <c r="R108" s="66">
        <v>0</v>
      </c>
      <c r="S108" s="67">
        <v>0</v>
      </c>
      <c r="T108" s="67">
        <v>0</v>
      </c>
      <c r="U108" s="67">
        <v>0</v>
      </c>
      <c r="V108" s="36">
        <v>0</v>
      </c>
      <c r="W108" s="67">
        <v>0</v>
      </c>
      <c r="X108" s="67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68">
        <f t="shared" si="51"/>
        <v>0</v>
      </c>
      <c r="AG108" s="68">
        <f t="shared" si="52"/>
        <v>0</v>
      </c>
      <c r="AH108" s="69">
        <f t="shared" si="53"/>
        <v>0</v>
      </c>
      <c r="AI108" s="36">
        <v>0</v>
      </c>
      <c r="AJ108" s="36">
        <v>0</v>
      </c>
      <c r="AK108" s="68">
        <f t="shared" si="54"/>
        <v>0</v>
      </c>
      <c r="AL108" s="68">
        <f t="shared" si="55"/>
        <v>0</v>
      </c>
      <c r="AM108" s="69">
        <f t="shared" si="56"/>
        <v>0</v>
      </c>
      <c r="AN108" s="67">
        <v>0</v>
      </c>
      <c r="AO108" s="67">
        <v>0</v>
      </c>
    </row>
    <row r="109" spans="1:41" s="3" customFormat="1" ht="15">
      <c r="A109" s="58" t="s">
        <v>638</v>
      </c>
      <c r="B109" s="58" t="s">
        <v>232</v>
      </c>
      <c r="C109" s="58" t="str">
        <f t="shared" si="57"/>
        <v>32312 GREAT NORTHERN SCHOOL DISTRICT</v>
      </c>
      <c r="D109" s="36">
        <v>0</v>
      </c>
      <c r="E109" s="36">
        <v>0</v>
      </c>
      <c r="F109" s="36">
        <v>0</v>
      </c>
      <c r="G109" s="36">
        <v>66079.28</v>
      </c>
      <c r="H109" s="36">
        <v>5562.49</v>
      </c>
      <c r="I109" s="36">
        <v>0</v>
      </c>
      <c r="J109" s="36">
        <v>10077.66</v>
      </c>
      <c r="K109" s="36">
        <v>0</v>
      </c>
      <c r="L109" s="36">
        <v>0</v>
      </c>
      <c r="M109" s="36">
        <v>106220.76</v>
      </c>
      <c r="N109" s="50">
        <v>7.0800000000000002E-2</v>
      </c>
      <c r="O109" s="53">
        <v>0.2009</v>
      </c>
      <c r="P109" s="36">
        <v>0</v>
      </c>
      <c r="Q109" s="66">
        <v>0</v>
      </c>
      <c r="R109" s="66">
        <v>0</v>
      </c>
      <c r="S109" s="67">
        <v>0</v>
      </c>
      <c r="T109" s="67">
        <v>0</v>
      </c>
      <c r="U109" s="67">
        <v>0</v>
      </c>
      <c r="V109" s="36">
        <v>0</v>
      </c>
      <c r="W109" s="67">
        <v>0</v>
      </c>
      <c r="X109" s="67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68">
        <f t="shared" si="51"/>
        <v>0</v>
      </c>
      <c r="AG109" s="68">
        <f t="shared" si="52"/>
        <v>0</v>
      </c>
      <c r="AH109" s="69">
        <f t="shared" si="53"/>
        <v>0</v>
      </c>
      <c r="AI109" s="36">
        <v>0</v>
      </c>
      <c r="AJ109" s="36">
        <v>0</v>
      </c>
      <c r="AK109" s="68">
        <f t="shared" si="54"/>
        <v>0</v>
      </c>
      <c r="AL109" s="68">
        <f t="shared" si="55"/>
        <v>0</v>
      </c>
      <c r="AM109" s="69">
        <f t="shared" si="56"/>
        <v>0</v>
      </c>
      <c r="AN109" s="67">
        <v>0</v>
      </c>
      <c r="AO109" s="67">
        <v>0</v>
      </c>
    </row>
    <row r="110" spans="1:41" s="3" customFormat="1" ht="15">
      <c r="A110" s="58" t="s">
        <v>447</v>
      </c>
      <c r="B110" s="58" t="s">
        <v>40</v>
      </c>
      <c r="C110" s="58" t="str">
        <f t="shared" si="57"/>
        <v>06103 GREEN MOUNTAIN SCHOOL DISTRICT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43618.35</v>
      </c>
      <c r="K110" s="36">
        <v>0</v>
      </c>
      <c r="L110" s="36">
        <v>5247.32</v>
      </c>
      <c r="M110" s="36">
        <v>181750.89</v>
      </c>
      <c r="N110" s="50">
        <v>6.6199999999999995E-2</v>
      </c>
      <c r="O110" s="53">
        <v>0.24010000000000001</v>
      </c>
      <c r="P110" s="36">
        <v>0</v>
      </c>
      <c r="Q110" s="66">
        <v>0</v>
      </c>
      <c r="R110" s="66">
        <v>0</v>
      </c>
      <c r="S110" s="67">
        <v>0</v>
      </c>
      <c r="T110" s="67">
        <v>0</v>
      </c>
      <c r="U110" s="67">
        <v>0</v>
      </c>
      <c r="V110" s="36">
        <v>0</v>
      </c>
      <c r="W110" s="67">
        <v>0</v>
      </c>
      <c r="X110" s="67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68">
        <f t="shared" si="51"/>
        <v>0</v>
      </c>
      <c r="AG110" s="68">
        <f t="shared" si="52"/>
        <v>0</v>
      </c>
      <c r="AH110" s="69">
        <f t="shared" si="53"/>
        <v>0</v>
      </c>
      <c r="AI110" s="36">
        <v>0</v>
      </c>
      <c r="AJ110" s="36">
        <v>0</v>
      </c>
      <c r="AK110" s="68">
        <f t="shared" si="54"/>
        <v>0</v>
      </c>
      <c r="AL110" s="68">
        <f t="shared" si="55"/>
        <v>0</v>
      </c>
      <c r="AM110" s="69">
        <f t="shared" si="56"/>
        <v>0</v>
      </c>
      <c r="AN110" s="67">
        <v>0</v>
      </c>
      <c r="AO110" s="67">
        <v>0</v>
      </c>
    </row>
    <row r="111" spans="1:41" s="3" customFormat="1" ht="15">
      <c r="A111" s="58" t="s">
        <v>664</v>
      </c>
      <c r="B111" s="58" t="s">
        <v>261</v>
      </c>
      <c r="C111" s="58" t="str">
        <f t="shared" si="57"/>
        <v>34324 GRIFFIN SCHOOL DISTRICT</v>
      </c>
      <c r="D111" s="36">
        <v>0</v>
      </c>
      <c r="E111" s="36">
        <v>0</v>
      </c>
      <c r="F111" s="36">
        <v>0</v>
      </c>
      <c r="G111" s="36">
        <v>985713.62</v>
      </c>
      <c r="H111" s="36">
        <v>119853.85</v>
      </c>
      <c r="I111" s="36">
        <v>0</v>
      </c>
      <c r="J111" s="36">
        <v>84049.76</v>
      </c>
      <c r="K111" s="36">
        <v>0</v>
      </c>
      <c r="L111" s="36">
        <v>16519.060000000001</v>
      </c>
      <c r="M111" s="36">
        <v>688043.45</v>
      </c>
      <c r="N111" s="50">
        <v>5.7299999999999997E-2</v>
      </c>
      <c r="O111" s="53">
        <v>0.1968</v>
      </c>
      <c r="P111" s="36">
        <v>0</v>
      </c>
      <c r="Q111" s="66">
        <v>0</v>
      </c>
      <c r="R111" s="66">
        <v>0</v>
      </c>
      <c r="S111" s="67">
        <v>0</v>
      </c>
      <c r="T111" s="67">
        <v>0</v>
      </c>
      <c r="U111" s="67">
        <v>0</v>
      </c>
      <c r="V111" s="36">
        <v>0</v>
      </c>
      <c r="W111" s="67">
        <v>0</v>
      </c>
      <c r="X111" s="67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68">
        <f t="shared" si="51"/>
        <v>0</v>
      </c>
      <c r="AG111" s="68">
        <f t="shared" si="52"/>
        <v>0</v>
      </c>
      <c r="AH111" s="69">
        <f t="shared" si="53"/>
        <v>0</v>
      </c>
      <c r="AI111" s="36">
        <v>0</v>
      </c>
      <c r="AJ111" s="36">
        <v>0</v>
      </c>
      <c r="AK111" s="68">
        <f t="shared" si="54"/>
        <v>0</v>
      </c>
      <c r="AL111" s="68">
        <f t="shared" si="55"/>
        <v>0</v>
      </c>
      <c r="AM111" s="69">
        <f t="shared" si="56"/>
        <v>0</v>
      </c>
      <c r="AN111" s="67">
        <v>0</v>
      </c>
      <c r="AO111" s="67">
        <v>0</v>
      </c>
    </row>
    <row r="112" spans="1:41" s="3" customFormat="1" ht="15">
      <c r="A112" s="58" t="s">
        <v>567</v>
      </c>
      <c r="B112" s="58" t="s">
        <v>160</v>
      </c>
      <c r="C112" s="58" t="str">
        <f t="shared" si="57"/>
        <v>22204 HARRINGTON SCHOOL DISTRICT</v>
      </c>
      <c r="D112" s="36">
        <v>0</v>
      </c>
      <c r="E112" s="36">
        <v>0</v>
      </c>
      <c r="F112" s="36">
        <v>0</v>
      </c>
      <c r="G112" s="36">
        <v>213182.92</v>
      </c>
      <c r="H112" s="36">
        <v>31053.47</v>
      </c>
      <c r="I112" s="36">
        <v>41169.42</v>
      </c>
      <c r="J112" s="36">
        <v>46651.5</v>
      </c>
      <c r="K112" s="36">
        <v>0</v>
      </c>
      <c r="L112" s="36">
        <v>0</v>
      </c>
      <c r="M112" s="36">
        <v>301522.67</v>
      </c>
      <c r="N112" s="50">
        <v>4.7600000000000003E-2</v>
      </c>
      <c r="O112" s="53">
        <v>0.18129999999999999</v>
      </c>
      <c r="P112" s="36">
        <v>0</v>
      </c>
      <c r="Q112" s="66">
        <v>0</v>
      </c>
      <c r="R112" s="66">
        <v>0</v>
      </c>
      <c r="S112" s="67">
        <v>0</v>
      </c>
      <c r="T112" s="67">
        <v>0</v>
      </c>
      <c r="U112" s="67">
        <v>0</v>
      </c>
      <c r="V112" s="36">
        <v>0</v>
      </c>
      <c r="W112" s="67">
        <v>0</v>
      </c>
      <c r="X112" s="67">
        <v>0</v>
      </c>
      <c r="Y112" s="36">
        <v>0</v>
      </c>
      <c r="Z112" s="36">
        <v>0</v>
      </c>
      <c r="AA112" s="36">
        <v>0</v>
      </c>
      <c r="AB112" s="36">
        <v>27502.59</v>
      </c>
      <c r="AC112" s="36">
        <v>28149.91</v>
      </c>
      <c r="AD112" s="36">
        <v>3</v>
      </c>
      <c r="AE112" s="36">
        <v>27041.86</v>
      </c>
      <c r="AF112" s="68">
        <f t="shared" si="51"/>
        <v>9013.9533333333329</v>
      </c>
      <c r="AG112" s="68">
        <f t="shared" si="52"/>
        <v>9383.3033333333333</v>
      </c>
      <c r="AH112" s="69">
        <f t="shared" si="53"/>
        <v>369.35</v>
      </c>
      <c r="AI112" s="36">
        <v>2.94</v>
      </c>
      <c r="AJ112" s="36">
        <v>26027.82</v>
      </c>
      <c r="AK112" s="68">
        <f t="shared" si="54"/>
        <v>8853</v>
      </c>
      <c r="AL112" s="68">
        <f t="shared" si="55"/>
        <v>9354.6224489795914</v>
      </c>
      <c r="AM112" s="69">
        <f t="shared" si="56"/>
        <v>501.62</v>
      </c>
      <c r="AN112" s="67">
        <v>0</v>
      </c>
      <c r="AO112" s="67">
        <v>0</v>
      </c>
    </row>
    <row r="113" spans="1:41" s="3" customFormat="1" ht="15">
      <c r="A113" s="58" t="s">
        <v>703</v>
      </c>
      <c r="B113" s="58" t="s">
        <v>301</v>
      </c>
      <c r="C113" s="58" t="str">
        <f t="shared" si="57"/>
        <v>39203 HIGHLAND SCHOOL DISTRICT</v>
      </c>
      <c r="D113" s="36">
        <v>0</v>
      </c>
      <c r="E113" s="36">
        <v>10955.42</v>
      </c>
      <c r="F113" s="36">
        <v>27001.919999999998</v>
      </c>
      <c r="G113" s="36">
        <v>1687244.84</v>
      </c>
      <c r="H113" s="36">
        <v>245316.89</v>
      </c>
      <c r="I113" s="36">
        <v>324043.49</v>
      </c>
      <c r="J113" s="36">
        <v>570790.30000000005</v>
      </c>
      <c r="K113" s="36">
        <v>537426.23</v>
      </c>
      <c r="L113" s="36">
        <v>31375.82</v>
      </c>
      <c r="M113" s="36">
        <v>851422.01</v>
      </c>
      <c r="N113" s="50">
        <v>4.3499999999999997E-2</v>
      </c>
      <c r="O113" s="53">
        <v>0.19489999999999999</v>
      </c>
      <c r="P113" s="36">
        <v>0</v>
      </c>
      <c r="Q113" s="66">
        <v>0</v>
      </c>
      <c r="R113" s="66">
        <v>0</v>
      </c>
      <c r="S113" s="67">
        <v>0</v>
      </c>
      <c r="T113" s="67">
        <v>0</v>
      </c>
      <c r="U113" s="67">
        <v>0</v>
      </c>
      <c r="V113" s="36">
        <v>0</v>
      </c>
      <c r="W113" s="67">
        <v>0</v>
      </c>
      <c r="X113" s="67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463227.51</v>
      </c>
      <c r="AD113" s="36">
        <v>50.46</v>
      </c>
      <c r="AE113" s="36">
        <v>446496.19</v>
      </c>
      <c r="AF113" s="68">
        <f t="shared" si="51"/>
        <v>8848.5174395560844</v>
      </c>
      <c r="AG113" s="68">
        <f t="shared" si="52"/>
        <v>9180.0933412604045</v>
      </c>
      <c r="AH113" s="69">
        <f t="shared" si="53"/>
        <v>331.58</v>
      </c>
      <c r="AI113" s="36">
        <v>0</v>
      </c>
      <c r="AJ113" s="36">
        <v>0</v>
      </c>
      <c r="AK113" s="68">
        <f t="shared" si="54"/>
        <v>0</v>
      </c>
      <c r="AL113" s="68">
        <f t="shared" si="55"/>
        <v>0</v>
      </c>
      <c r="AM113" s="69">
        <f t="shared" si="56"/>
        <v>0</v>
      </c>
      <c r="AN113" s="67">
        <v>5000</v>
      </c>
      <c r="AO113" s="67">
        <v>0</v>
      </c>
    </row>
    <row r="114" spans="1:41" s="3" customFormat="1" ht="15">
      <c r="A114" s="58" t="s">
        <v>512</v>
      </c>
      <c r="B114" s="58" t="s">
        <v>105</v>
      </c>
      <c r="C114" s="58" t="str">
        <f t="shared" si="57"/>
        <v>17401 HIGHLINE SCHOOL DISTRICT</v>
      </c>
      <c r="D114" s="36">
        <v>0</v>
      </c>
      <c r="E114" s="36">
        <v>947035.53</v>
      </c>
      <c r="F114" s="36">
        <v>480079.32</v>
      </c>
      <c r="G114" s="36">
        <v>33938124.25</v>
      </c>
      <c r="H114" s="36">
        <v>6361251.3200000003</v>
      </c>
      <c r="I114" s="36">
        <v>4997177.59</v>
      </c>
      <c r="J114" s="36">
        <v>9565105.5</v>
      </c>
      <c r="K114" s="36">
        <v>11835223.689999999</v>
      </c>
      <c r="L114" s="36">
        <v>602655.96</v>
      </c>
      <c r="M114" s="36">
        <v>8754413.4100000001</v>
      </c>
      <c r="N114" s="50">
        <v>3.1600000000000003E-2</v>
      </c>
      <c r="O114" s="53">
        <v>0.12379999999999999</v>
      </c>
      <c r="P114" s="36">
        <v>0</v>
      </c>
      <c r="Q114" s="66">
        <v>0</v>
      </c>
      <c r="R114" s="66">
        <v>0</v>
      </c>
      <c r="S114" s="67">
        <v>0</v>
      </c>
      <c r="T114" s="67">
        <v>0</v>
      </c>
      <c r="U114" s="67">
        <v>0</v>
      </c>
      <c r="V114" s="36">
        <v>0</v>
      </c>
      <c r="W114" s="67">
        <v>0</v>
      </c>
      <c r="X114" s="67">
        <v>0</v>
      </c>
      <c r="Y114" s="36">
        <v>0</v>
      </c>
      <c r="Z114" s="36">
        <v>0</v>
      </c>
      <c r="AA114" s="36">
        <v>750875.56</v>
      </c>
      <c r="AB114" s="36">
        <v>1028383.11</v>
      </c>
      <c r="AC114" s="36">
        <v>7061017.4199999999</v>
      </c>
      <c r="AD114" s="36">
        <v>647.41999999999996</v>
      </c>
      <c r="AE114" s="36">
        <v>6436536.25</v>
      </c>
      <c r="AF114" s="68">
        <f t="shared" si="51"/>
        <v>9941.8248586697973</v>
      </c>
      <c r="AG114" s="68">
        <f t="shared" si="52"/>
        <v>10906.39371659819</v>
      </c>
      <c r="AH114" s="69">
        <f t="shared" si="53"/>
        <v>964.57</v>
      </c>
      <c r="AI114" s="36">
        <v>99.61</v>
      </c>
      <c r="AJ114" s="36">
        <v>968423.06</v>
      </c>
      <c r="AK114" s="68">
        <f t="shared" si="54"/>
        <v>9722.1469731954621</v>
      </c>
      <c r="AL114" s="68">
        <f t="shared" si="55"/>
        <v>10324.095070776026</v>
      </c>
      <c r="AM114" s="69">
        <f t="shared" si="56"/>
        <v>601.95000000000005</v>
      </c>
      <c r="AN114" s="67">
        <v>0</v>
      </c>
      <c r="AO114" s="67">
        <v>0</v>
      </c>
    </row>
    <row r="115" spans="1:41" s="3" customFormat="1" ht="15">
      <c r="A115" s="58" t="s">
        <v>445</v>
      </c>
      <c r="B115" s="58" t="s">
        <v>38</v>
      </c>
      <c r="C115" s="58" t="str">
        <f t="shared" si="57"/>
        <v>06098 HOCKINSON SCHOOL DISTRICT</v>
      </c>
      <c r="D115" s="36">
        <v>0</v>
      </c>
      <c r="E115" s="36">
        <v>0</v>
      </c>
      <c r="F115" s="36">
        <v>0</v>
      </c>
      <c r="G115" s="36">
        <v>2473600.2999999998</v>
      </c>
      <c r="H115" s="36">
        <v>426749</v>
      </c>
      <c r="I115" s="36">
        <v>0</v>
      </c>
      <c r="J115" s="36">
        <v>319758.53000000003</v>
      </c>
      <c r="K115" s="36">
        <v>143601.92000000001</v>
      </c>
      <c r="L115" s="36">
        <v>62093.27</v>
      </c>
      <c r="M115" s="36">
        <v>1746718.7</v>
      </c>
      <c r="N115" s="50">
        <v>5.5800000000000002E-2</v>
      </c>
      <c r="O115" s="53">
        <v>0.14549999999999999</v>
      </c>
      <c r="P115" s="36">
        <v>0</v>
      </c>
      <c r="Q115" s="66">
        <v>0</v>
      </c>
      <c r="R115" s="66">
        <v>0</v>
      </c>
      <c r="S115" s="67">
        <v>0</v>
      </c>
      <c r="T115" s="67">
        <v>0</v>
      </c>
      <c r="U115" s="67">
        <v>0</v>
      </c>
      <c r="V115" s="36">
        <v>0</v>
      </c>
      <c r="W115" s="67">
        <v>0</v>
      </c>
      <c r="X115" s="67">
        <v>0</v>
      </c>
      <c r="Y115" s="36">
        <v>0</v>
      </c>
      <c r="Z115" s="36">
        <v>8381.02</v>
      </c>
      <c r="AA115" s="36">
        <v>51334.53</v>
      </c>
      <c r="AB115" s="36">
        <v>101317.26</v>
      </c>
      <c r="AC115" s="36">
        <v>699755.88</v>
      </c>
      <c r="AD115" s="36">
        <v>71.48</v>
      </c>
      <c r="AE115" s="36">
        <v>658603.30000000005</v>
      </c>
      <c r="AF115" s="68">
        <f t="shared" si="51"/>
        <v>9213.8122551762735</v>
      </c>
      <c r="AG115" s="68">
        <f t="shared" si="52"/>
        <v>9789.5338556239494</v>
      </c>
      <c r="AH115" s="69">
        <f t="shared" si="53"/>
        <v>575.72</v>
      </c>
      <c r="AI115" s="36">
        <v>10.59</v>
      </c>
      <c r="AJ115" s="36">
        <v>95155.92</v>
      </c>
      <c r="AK115" s="68">
        <f t="shared" si="54"/>
        <v>8985.4504249291786</v>
      </c>
      <c r="AL115" s="68">
        <f t="shared" si="55"/>
        <v>9567.2577903682723</v>
      </c>
      <c r="AM115" s="69">
        <f t="shared" si="56"/>
        <v>581.80999999999995</v>
      </c>
      <c r="AN115" s="67">
        <v>0</v>
      </c>
      <c r="AO115" s="67">
        <v>0</v>
      </c>
    </row>
    <row r="116" spans="1:41" s="3" customFormat="1" ht="15">
      <c r="A116" s="58" t="s">
        <v>575</v>
      </c>
      <c r="B116" s="58" t="s">
        <v>168</v>
      </c>
      <c r="C116" s="58" t="str">
        <f t="shared" si="57"/>
        <v>23404 HOOD CANAL SCHOOL DISTRICT</v>
      </c>
      <c r="D116" s="36">
        <v>0</v>
      </c>
      <c r="E116" s="36">
        <v>0</v>
      </c>
      <c r="F116" s="36">
        <v>0</v>
      </c>
      <c r="G116" s="36">
        <v>614637.71</v>
      </c>
      <c r="H116" s="36">
        <v>52886.720000000001</v>
      </c>
      <c r="I116" s="36">
        <v>99529.86</v>
      </c>
      <c r="J116" s="36">
        <v>169969.58</v>
      </c>
      <c r="K116" s="36">
        <v>0</v>
      </c>
      <c r="L116" s="36">
        <v>9246.52</v>
      </c>
      <c r="M116" s="36">
        <v>613584.49</v>
      </c>
      <c r="N116" s="50">
        <v>6.3899999999999998E-2</v>
      </c>
      <c r="O116" s="53">
        <v>0.25269999999999998</v>
      </c>
      <c r="P116" s="36">
        <v>0</v>
      </c>
      <c r="Q116" s="66">
        <v>0</v>
      </c>
      <c r="R116" s="66">
        <v>0</v>
      </c>
      <c r="S116" s="67">
        <v>0</v>
      </c>
      <c r="T116" s="67">
        <v>0</v>
      </c>
      <c r="U116" s="67">
        <v>0</v>
      </c>
      <c r="V116" s="36">
        <v>0</v>
      </c>
      <c r="W116" s="67">
        <v>0</v>
      </c>
      <c r="X116" s="67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68">
        <f t="shared" si="51"/>
        <v>0</v>
      </c>
      <c r="AG116" s="68">
        <f t="shared" si="52"/>
        <v>0</v>
      </c>
      <c r="AH116" s="69">
        <f t="shared" si="53"/>
        <v>0</v>
      </c>
      <c r="AI116" s="36">
        <v>0</v>
      </c>
      <c r="AJ116" s="36">
        <v>0</v>
      </c>
      <c r="AK116" s="68">
        <f t="shared" si="54"/>
        <v>0</v>
      </c>
      <c r="AL116" s="68">
        <f t="shared" si="55"/>
        <v>0</v>
      </c>
      <c r="AM116" s="69">
        <f t="shared" si="56"/>
        <v>0</v>
      </c>
      <c r="AN116" s="67">
        <v>0</v>
      </c>
      <c r="AO116" s="67">
        <v>0</v>
      </c>
    </row>
    <row r="117" spans="1:41" s="3" customFormat="1" ht="15">
      <c r="A117" s="58" t="s">
        <v>488</v>
      </c>
      <c r="B117" s="58" t="s">
        <v>81</v>
      </c>
      <c r="C117" s="58" t="str">
        <f t="shared" si="57"/>
        <v>14028 HOQUIAM SCHOOL DISTRICT</v>
      </c>
      <c r="D117" s="36">
        <v>0</v>
      </c>
      <c r="E117" s="36">
        <v>76568.710000000006</v>
      </c>
      <c r="F117" s="36">
        <v>43185.18</v>
      </c>
      <c r="G117" s="36">
        <v>2663697.89</v>
      </c>
      <c r="H117" s="36">
        <v>484530.91</v>
      </c>
      <c r="I117" s="36">
        <v>493389.71</v>
      </c>
      <c r="J117" s="36">
        <v>736084.68</v>
      </c>
      <c r="K117" s="36">
        <v>197719.77</v>
      </c>
      <c r="L117" s="36">
        <v>47167.61</v>
      </c>
      <c r="M117" s="36">
        <v>1245693.73</v>
      </c>
      <c r="N117" s="50">
        <v>3.3399999999999999E-2</v>
      </c>
      <c r="O117" s="53">
        <v>0.1817</v>
      </c>
      <c r="P117" s="36">
        <v>0</v>
      </c>
      <c r="Q117" s="66">
        <v>0</v>
      </c>
      <c r="R117" s="66">
        <v>0</v>
      </c>
      <c r="S117" s="67">
        <v>0</v>
      </c>
      <c r="T117" s="67">
        <v>0</v>
      </c>
      <c r="U117" s="67">
        <v>0</v>
      </c>
      <c r="V117" s="36">
        <v>0</v>
      </c>
      <c r="W117" s="67">
        <v>0</v>
      </c>
      <c r="X117" s="67">
        <v>0</v>
      </c>
      <c r="Y117" s="36">
        <v>0</v>
      </c>
      <c r="Z117" s="36">
        <v>11505.01</v>
      </c>
      <c r="AA117" s="36">
        <v>42632.58</v>
      </c>
      <c r="AB117" s="36">
        <v>110719.1</v>
      </c>
      <c r="AC117" s="36">
        <v>1082022.32</v>
      </c>
      <c r="AD117" s="36">
        <v>115.87</v>
      </c>
      <c r="AE117" s="36">
        <v>1025133.95</v>
      </c>
      <c r="AF117" s="68">
        <f t="shared" si="51"/>
        <v>8847.276689393284</v>
      </c>
      <c r="AG117" s="68">
        <f t="shared" si="52"/>
        <v>9338.2438940191605</v>
      </c>
      <c r="AH117" s="69">
        <f t="shared" si="53"/>
        <v>490.97</v>
      </c>
      <c r="AI117" s="36">
        <v>12.07</v>
      </c>
      <c r="AJ117" s="36">
        <v>104277.23</v>
      </c>
      <c r="AK117" s="68">
        <f t="shared" si="54"/>
        <v>8639.3728251864122</v>
      </c>
      <c r="AL117" s="68">
        <f t="shared" si="55"/>
        <v>9173.0820215410113</v>
      </c>
      <c r="AM117" s="69">
        <f t="shared" si="56"/>
        <v>533.71</v>
      </c>
      <c r="AN117" s="67">
        <v>0</v>
      </c>
      <c r="AO117" s="67">
        <v>0</v>
      </c>
    </row>
    <row r="118" spans="1:41" s="3" customFormat="1" ht="15">
      <c r="A118" s="58" t="s">
        <v>815</v>
      </c>
      <c r="B118" s="63" t="s">
        <v>816</v>
      </c>
      <c r="C118" s="59" t="str">
        <f>CONCATENATE(B118," ",A118," CHARTER")</f>
        <v>17919 IMPACT BLACK RIVER CHARTER</v>
      </c>
      <c r="D118" s="36">
        <v>0</v>
      </c>
      <c r="E118" s="36">
        <v>0</v>
      </c>
      <c r="F118" s="36">
        <v>0</v>
      </c>
      <c r="G118" s="36">
        <v>28896.799999999999</v>
      </c>
      <c r="H118" s="36">
        <v>6627.29</v>
      </c>
      <c r="I118" s="36">
        <v>0</v>
      </c>
      <c r="J118" s="36">
        <v>61527.39</v>
      </c>
      <c r="K118" s="36">
        <v>36955.18</v>
      </c>
      <c r="L118" s="36">
        <v>4205.97</v>
      </c>
      <c r="M118" s="36">
        <v>52965.55</v>
      </c>
      <c r="N118" s="76">
        <v>3.7100000000000001E-2</v>
      </c>
      <c r="O118" s="77">
        <v>0.14399999999999999</v>
      </c>
      <c r="P118" s="36">
        <v>0</v>
      </c>
      <c r="Q118" s="66">
        <v>0</v>
      </c>
      <c r="R118" s="66">
        <v>0</v>
      </c>
      <c r="S118" s="67">
        <v>0</v>
      </c>
      <c r="T118" s="67">
        <v>0</v>
      </c>
      <c r="U118" s="67">
        <v>0</v>
      </c>
      <c r="V118" s="36">
        <v>0</v>
      </c>
      <c r="W118" s="67">
        <v>0</v>
      </c>
      <c r="X118" s="67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68">
        <f t="shared" si="51"/>
        <v>0</v>
      </c>
      <c r="AG118" s="68">
        <f t="shared" si="52"/>
        <v>0</v>
      </c>
      <c r="AH118" s="69">
        <f t="shared" si="53"/>
        <v>0</v>
      </c>
      <c r="AI118" s="36">
        <v>0</v>
      </c>
      <c r="AJ118" s="36">
        <v>0</v>
      </c>
      <c r="AK118" s="68">
        <f t="shared" si="54"/>
        <v>0</v>
      </c>
      <c r="AL118" s="68">
        <f t="shared" si="55"/>
        <v>0</v>
      </c>
      <c r="AM118" s="69">
        <f t="shared" si="56"/>
        <v>0</v>
      </c>
      <c r="AN118" s="67">
        <v>0</v>
      </c>
      <c r="AO118" s="67">
        <v>0</v>
      </c>
    </row>
    <row r="119" spans="1:41" s="3" customFormat="1" ht="15">
      <c r="A119" s="58" t="s">
        <v>813</v>
      </c>
      <c r="B119" s="59" t="s">
        <v>797</v>
      </c>
      <c r="C119" s="59" t="str">
        <f>CONCATENATE(B119," ",A119," CHARTER")</f>
        <v>27902 IMPACT TACOMA CHARTER</v>
      </c>
      <c r="D119" s="36">
        <v>0</v>
      </c>
      <c r="E119" s="36">
        <v>0</v>
      </c>
      <c r="F119" s="36">
        <v>0</v>
      </c>
      <c r="G119" s="36">
        <v>667138.84</v>
      </c>
      <c r="H119" s="36">
        <v>45497.37</v>
      </c>
      <c r="I119" s="36">
        <v>209337.32</v>
      </c>
      <c r="J119" s="36">
        <v>281439.74</v>
      </c>
      <c r="K119" s="36">
        <v>211931.51999999999</v>
      </c>
      <c r="L119" s="36">
        <v>16823.900000000001</v>
      </c>
      <c r="M119" s="36">
        <v>251833.44</v>
      </c>
      <c r="N119" s="50">
        <v>5.8400000000000001E-2</v>
      </c>
      <c r="O119" s="53">
        <v>0.34110000000000001</v>
      </c>
      <c r="P119" s="36">
        <v>0</v>
      </c>
      <c r="Q119" s="66">
        <v>0</v>
      </c>
      <c r="R119" s="66">
        <v>0</v>
      </c>
      <c r="S119" s="67">
        <v>0</v>
      </c>
      <c r="T119" s="67">
        <v>0</v>
      </c>
      <c r="U119" s="67">
        <v>0</v>
      </c>
      <c r="V119" s="36">
        <v>0</v>
      </c>
      <c r="W119" s="67">
        <v>0</v>
      </c>
      <c r="X119" s="67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68">
        <f t="shared" si="51"/>
        <v>0</v>
      </c>
      <c r="AG119" s="68">
        <f t="shared" si="52"/>
        <v>0</v>
      </c>
      <c r="AH119" s="69">
        <f t="shared" si="53"/>
        <v>0</v>
      </c>
      <c r="AI119" s="36">
        <v>0</v>
      </c>
      <c r="AJ119" s="36">
        <v>0</v>
      </c>
      <c r="AK119" s="68">
        <f t="shared" si="54"/>
        <v>0</v>
      </c>
      <c r="AL119" s="68">
        <f t="shared" si="55"/>
        <v>0</v>
      </c>
      <c r="AM119" s="69">
        <f t="shared" si="56"/>
        <v>0</v>
      </c>
      <c r="AN119" s="67">
        <v>0</v>
      </c>
      <c r="AO119" s="67">
        <v>0</v>
      </c>
    </row>
    <row r="120" spans="1:41" s="3" customFormat="1" ht="15">
      <c r="A120" s="58" t="s">
        <v>770</v>
      </c>
      <c r="B120" s="59" t="s">
        <v>743</v>
      </c>
      <c r="C120" s="59" t="str">
        <f>CONCATENATE(B120," ",A120," CHARTER")</f>
        <v>17911 IMPACT PUGET SOUND CHARTER</v>
      </c>
      <c r="D120" s="36">
        <v>0</v>
      </c>
      <c r="E120" s="36">
        <v>0</v>
      </c>
      <c r="F120" s="36">
        <v>0</v>
      </c>
      <c r="G120" s="36">
        <v>232434.89</v>
      </c>
      <c r="H120" s="36">
        <v>14584.14</v>
      </c>
      <c r="I120" s="36">
        <v>117286.58</v>
      </c>
      <c r="J120" s="36">
        <v>147088.92000000001</v>
      </c>
      <c r="K120" s="36">
        <v>96343.23</v>
      </c>
      <c r="L120" s="36">
        <v>10815.36</v>
      </c>
      <c r="M120" s="36">
        <v>120442.08</v>
      </c>
      <c r="N120" s="50">
        <v>3.7100000000000001E-2</v>
      </c>
      <c r="O120" s="53">
        <v>0.14399999999999999</v>
      </c>
      <c r="P120" s="36">
        <v>0</v>
      </c>
      <c r="Q120" s="66">
        <v>0</v>
      </c>
      <c r="R120" s="66">
        <v>0</v>
      </c>
      <c r="S120" s="67">
        <v>0</v>
      </c>
      <c r="T120" s="67">
        <v>0</v>
      </c>
      <c r="U120" s="67">
        <v>0</v>
      </c>
      <c r="V120" s="36">
        <v>0</v>
      </c>
      <c r="W120" s="67">
        <v>0</v>
      </c>
      <c r="X120" s="67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68">
        <f t="shared" si="51"/>
        <v>0</v>
      </c>
      <c r="AG120" s="68">
        <f t="shared" si="52"/>
        <v>0</v>
      </c>
      <c r="AH120" s="69">
        <f t="shared" si="53"/>
        <v>0</v>
      </c>
      <c r="AI120" s="36">
        <v>0</v>
      </c>
      <c r="AJ120" s="36">
        <v>0</v>
      </c>
      <c r="AK120" s="68">
        <f t="shared" si="54"/>
        <v>0</v>
      </c>
      <c r="AL120" s="68">
        <f t="shared" si="55"/>
        <v>0</v>
      </c>
      <c r="AM120" s="69">
        <f t="shared" si="56"/>
        <v>0</v>
      </c>
      <c r="AN120" s="67">
        <v>0</v>
      </c>
      <c r="AO120" s="67">
        <v>0</v>
      </c>
    </row>
    <row r="121" spans="1:41" s="3" customFormat="1" ht="15">
      <c r="A121" s="58" t="s">
        <v>772</v>
      </c>
      <c r="B121" s="59" t="s">
        <v>771</v>
      </c>
      <c r="C121" s="59" t="str">
        <f>CONCATENATE(B121," ",A121," CHARTER")</f>
        <v>17916 IMPACT SALISH SEA CHARTER</v>
      </c>
      <c r="D121" s="36">
        <v>0</v>
      </c>
      <c r="E121" s="36">
        <v>0</v>
      </c>
      <c r="F121" s="36">
        <v>0</v>
      </c>
      <c r="G121" s="36">
        <v>484614.73</v>
      </c>
      <c r="H121" s="36">
        <v>30631.25</v>
      </c>
      <c r="I121" s="36">
        <v>109581.4</v>
      </c>
      <c r="J121" s="36">
        <v>145726.04999999999</v>
      </c>
      <c r="K121" s="36">
        <v>30664.43</v>
      </c>
      <c r="L121" s="36">
        <v>8376.3799999999992</v>
      </c>
      <c r="M121" s="36">
        <v>189835.7</v>
      </c>
      <c r="N121" s="50">
        <v>3.7100000000000001E-2</v>
      </c>
      <c r="O121" s="53">
        <v>0.14399999999999999</v>
      </c>
      <c r="P121" s="36">
        <v>0</v>
      </c>
      <c r="Q121" s="66">
        <v>0</v>
      </c>
      <c r="R121" s="66">
        <v>0</v>
      </c>
      <c r="S121" s="67">
        <v>0</v>
      </c>
      <c r="T121" s="67">
        <v>0</v>
      </c>
      <c r="U121" s="67">
        <v>0</v>
      </c>
      <c r="V121" s="36">
        <v>0</v>
      </c>
      <c r="W121" s="67">
        <v>0</v>
      </c>
      <c r="X121" s="67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68">
        <f t="shared" si="51"/>
        <v>0</v>
      </c>
      <c r="AG121" s="68">
        <f t="shared" si="52"/>
        <v>0</v>
      </c>
      <c r="AH121" s="69">
        <f t="shared" si="53"/>
        <v>0</v>
      </c>
      <c r="AI121" s="36">
        <v>0</v>
      </c>
      <c r="AJ121" s="36">
        <v>0</v>
      </c>
      <c r="AK121" s="68">
        <f t="shared" si="54"/>
        <v>0</v>
      </c>
      <c r="AL121" s="68">
        <f t="shared" si="55"/>
        <v>0</v>
      </c>
      <c r="AM121" s="69">
        <f t="shared" si="56"/>
        <v>0</v>
      </c>
      <c r="AN121" s="67">
        <v>0</v>
      </c>
      <c r="AO121" s="67">
        <v>0</v>
      </c>
    </row>
    <row r="122" spans="1:41" s="3" customFormat="1" ht="15">
      <c r="A122" s="58" t="s">
        <v>470</v>
      </c>
      <c r="B122" s="58" t="s">
        <v>63</v>
      </c>
      <c r="C122" s="58" t="str">
        <f t="shared" ref="C122:C147" si="58">CONCATENATE(B122," ",A122," SCHOOL DISTRICT")</f>
        <v>10070 INCHELIUM SCHOOL DISTRICT</v>
      </c>
      <c r="D122" s="36">
        <v>0</v>
      </c>
      <c r="E122" s="36">
        <v>0</v>
      </c>
      <c r="F122" s="36">
        <v>0</v>
      </c>
      <c r="G122" s="36">
        <v>297924</v>
      </c>
      <c r="H122" s="36">
        <v>32626.32</v>
      </c>
      <c r="I122" s="36">
        <v>60569.85</v>
      </c>
      <c r="J122" s="36">
        <v>108776.38</v>
      </c>
      <c r="K122" s="36">
        <v>0</v>
      </c>
      <c r="L122" s="36">
        <v>0</v>
      </c>
      <c r="M122" s="36">
        <v>0</v>
      </c>
      <c r="N122" s="50">
        <v>9.5200000000000007E-2</v>
      </c>
      <c r="O122" s="53">
        <v>0.31990000000000002</v>
      </c>
      <c r="P122" s="36">
        <v>0</v>
      </c>
      <c r="Q122" s="66">
        <v>0</v>
      </c>
      <c r="R122" s="66">
        <v>0</v>
      </c>
      <c r="S122" s="67">
        <v>0</v>
      </c>
      <c r="T122" s="67">
        <v>0</v>
      </c>
      <c r="U122" s="67">
        <v>0</v>
      </c>
      <c r="V122" s="36">
        <v>0</v>
      </c>
      <c r="W122" s="67">
        <v>0</v>
      </c>
      <c r="X122" s="67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4583.51</v>
      </c>
      <c r="AD122" s="36">
        <v>0</v>
      </c>
      <c r="AE122" s="36">
        <v>0</v>
      </c>
      <c r="AF122" s="68">
        <f t="shared" si="51"/>
        <v>0</v>
      </c>
      <c r="AG122" s="68">
        <f t="shared" si="52"/>
        <v>0</v>
      </c>
      <c r="AH122" s="69">
        <f t="shared" si="53"/>
        <v>0</v>
      </c>
      <c r="AI122" s="36">
        <v>0</v>
      </c>
      <c r="AJ122" s="36">
        <v>0</v>
      </c>
      <c r="AK122" s="68">
        <f t="shared" si="54"/>
        <v>0</v>
      </c>
      <c r="AL122" s="68">
        <f t="shared" si="55"/>
        <v>0</v>
      </c>
      <c r="AM122" s="69">
        <f t="shared" si="56"/>
        <v>0</v>
      </c>
      <c r="AN122" s="67">
        <v>1400</v>
      </c>
      <c r="AO122" s="67">
        <v>0</v>
      </c>
    </row>
    <row r="123" spans="1:41" s="3" customFormat="1" ht="15">
      <c r="A123" s="58" t="s">
        <v>628</v>
      </c>
      <c r="B123" s="58" t="s">
        <v>222</v>
      </c>
      <c r="C123" s="58" t="str">
        <f t="shared" si="58"/>
        <v>31063 INDEX SCHOOL DISTRICT</v>
      </c>
      <c r="D123" s="36">
        <v>0</v>
      </c>
      <c r="E123" s="36">
        <v>0</v>
      </c>
      <c r="F123" s="36">
        <v>0</v>
      </c>
      <c r="G123" s="36">
        <v>45346.69</v>
      </c>
      <c r="H123" s="36">
        <v>4829.88</v>
      </c>
      <c r="I123" s="36">
        <v>0</v>
      </c>
      <c r="J123" s="36">
        <v>7690.93</v>
      </c>
      <c r="K123" s="36">
        <v>0</v>
      </c>
      <c r="L123" s="36">
        <v>0</v>
      </c>
      <c r="M123" s="36">
        <v>129166.69</v>
      </c>
      <c r="N123" s="50">
        <v>0.1938</v>
      </c>
      <c r="O123" s="53">
        <v>0.44629999999999997</v>
      </c>
      <c r="P123" s="36">
        <v>0</v>
      </c>
      <c r="Q123" s="66">
        <v>0</v>
      </c>
      <c r="R123" s="66">
        <v>0</v>
      </c>
      <c r="S123" s="67">
        <v>0</v>
      </c>
      <c r="T123" s="67">
        <v>0</v>
      </c>
      <c r="U123" s="67">
        <v>0</v>
      </c>
      <c r="V123" s="36">
        <v>0</v>
      </c>
      <c r="W123" s="67">
        <v>0</v>
      </c>
      <c r="X123" s="67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68">
        <f t="shared" si="51"/>
        <v>0</v>
      </c>
      <c r="AG123" s="68">
        <f t="shared" si="52"/>
        <v>0</v>
      </c>
      <c r="AH123" s="69">
        <f t="shared" si="53"/>
        <v>0</v>
      </c>
      <c r="AI123" s="36">
        <v>0</v>
      </c>
      <c r="AJ123" s="36">
        <v>0</v>
      </c>
      <c r="AK123" s="68">
        <f t="shared" si="54"/>
        <v>0</v>
      </c>
      <c r="AL123" s="68">
        <f t="shared" si="55"/>
        <v>0</v>
      </c>
      <c r="AM123" s="69">
        <f t="shared" si="56"/>
        <v>0</v>
      </c>
      <c r="AN123" s="67">
        <v>0</v>
      </c>
      <c r="AO123" s="67">
        <v>0</v>
      </c>
    </row>
    <row r="124" spans="1:41" s="3" customFormat="1" ht="15">
      <c r="A124" s="58" t="s">
        <v>522</v>
      </c>
      <c r="B124" s="58" t="s">
        <v>115</v>
      </c>
      <c r="C124" s="58" t="str">
        <f t="shared" si="58"/>
        <v>17411 ISSAQUAH SCHOOL DISTRICT</v>
      </c>
      <c r="D124" s="36">
        <v>0</v>
      </c>
      <c r="E124" s="36">
        <v>0</v>
      </c>
      <c r="F124" s="36">
        <v>0</v>
      </c>
      <c r="G124" s="36">
        <v>23551242.539999999</v>
      </c>
      <c r="H124" s="36">
        <v>4117352.34</v>
      </c>
      <c r="I124" s="36">
        <v>0</v>
      </c>
      <c r="J124" s="36">
        <v>1773839.41</v>
      </c>
      <c r="K124" s="36">
        <v>2898561.88</v>
      </c>
      <c r="L124" s="36">
        <v>659136.17000000004</v>
      </c>
      <c r="M124" s="36">
        <v>14494010.48</v>
      </c>
      <c r="N124" s="50">
        <v>1.4500000000000001E-2</v>
      </c>
      <c r="O124" s="53">
        <v>9.9299999999999999E-2</v>
      </c>
      <c r="P124" s="36">
        <v>0</v>
      </c>
      <c r="Q124" s="66">
        <v>0</v>
      </c>
      <c r="R124" s="66">
        <v>0</v>
      </c>
      <c r="S124" s="67">
        <v>2189261.25</v>
      </c>
      <c r="T124" s="67">
        <v>115178.27000000031</v>
      </c>
      <c r="U124" s="67">
        <v>71373.81</v>
      </c>
      <c r="V124" s="36">
        <v>0</v>
      </c>
      <c r="W124" s="67">
        <v>0</v>
      </c>
      <c r="X124" s="67">
        <v>0</v>
      </c>
      <c r="Y124" s="36">
        <v>0</v>
      </c>
      <c r="Z124" s="36">
        <v>27139.97</v>
      </c>
      <c r="AA124" s="36">
        <v>193125.46</v>
      </c>
      <c r="AB124" s="36">
        <v>600803.05000000005</v>
      </c>
      <c r="AC124" s="36">
        <v>11410021.57</v>
      </c>
      <c r="AD124" s="36">
        <v>1020.9</v>
      </c>
      <c r="AE124" s="36">
        <v>10149603.140000001</v>
      </c>
      <c r="AF124" s="68">
        <f t="shared" si="51"/>
        <v>9941.819120383976</v>
      </c>
      <c r="AG124" s="68">
        <f t="shared" si="52"/>
        <v>11176.434097365071</v>
      </c>
      <c r="AH124" s="69">
        <f t="shared" si="53"/>
        <v>1234.6099999999999</v>
      </c>
      <c r="AI124" s="36">
        <v>58.19</v>
      </c>
      <c r="AJ124" s="36">
        <v>565670.29</v>
      </c>
      <c r="AK124" s="68">
        <f t="shared" si="54"/>
        <v>9721.0910809417437</v>
      </c>
      <c r="AL124" s="68">
        <f t="shared" si="55"/>
        <v>10324.850489774877</v>
      </c>
      <c r="AM124" s="69">
        <f t="shared" si="56"/>
        <v>603.76</v>
      </c>
      <c r="AN124" s="67">
        <v>25000</v>
      </c>
      <c r="AO124" s="67">
        <v>0</v>
      </c>
    </row>
    <row r="125" spans="1:41" s="3" customFormat="1" ht="15">
      <c r="A125" s="58" t="s">
        <v>475</v>
      </c>
      <c r="B125" s="58" t="s">
        <v>68</v>
      </c>
      <c r="C125" s="58" t="str">
        <f t="shared" si="58"/>
        <v>11056 KAHLOTUS SCHOOL DISTRICT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15114.05</v>
      </c>
      <c r="J125" s="36">
        <v>22406.84</v>
      </c>
      <c r="K125" s="36">
        <v>0</v>
      </c>
      <c r="L125" s="36">
        <v>1479.7</v>
      </c>
      <c r="M125" s="36">
        <v>97517.81</v>
      </c>
      <c r="N125" s="50">
        <v>4.3999999999999997E-2</v>
      </c>
      <c r="O125" s="53">
        <v>0.46110000000000001</v>
      </c>
      <c r="P125" s="36">
        <v>0</v>
      </c>
      <c r="Q125" s="66">
        <v>0</v>
      </c>
      <c r="R125" s="66">
        <v>0</v>
      </c>
      <c r="S125" s="67">
        <v>0</v>
      </c>
      <c r="T125" s="67">
        <v>0</v>
      </c>
      <c r="U125" s="67">
        <v>0</v>
      </c>
      <c r="V125" s="36">
        <v>0</v>
      </c>
      <c r="W125" s="67">
        <v>0</v>
      </c>
      <c r="X125" s="67">
        <v>0</v>
      </c>
      <c r="Y125" s="36">
        <v>0</v>
      </c>
      <c r="Z125" s="36">
        <v>0</v>
      </c>
      <c r="AA125" s="36">
        <v>0</v>
      </c>
      <c r="AB125" s="36">
        <v>6214.95</v>
      </c>
      <c r="AC125" s="36">
        <v>19810.63</v>
      </c>
      <c r="AD125" s="36">
        <v>2.02</v>
      </c>
      <c r="AE125" s="36">
        <v>17986.02</v>
      </c>
      <c r="AF125" s="68">
        <f t="shared" si="51"/>
        <v>8903.9702970297039</v>
      </c>
      <c r="AG125" s="68">
        <f t="shared" si="52"/>
        <v>9807.2425742574269</v>
      </c>
      <c r="AH125" s="69">
        <f t="shared" si="53"/>
        <v>903.27</v>
      </c>
      <c r="AI125" s="36">
        <v>0.67</v>
      </c>
      <c r="AJ125" s="36">
        <v>5861.83</v>
      </c>
      <c r="AK125" s="68">
        <f t="shared" si="54"/>
        <v>8749</v>
      </c>
      <c r="AL125" s="68">
        <f t="shared" si="55"/>
        <v>9276.0447761194027</v>
      </c>
      <c r="AM125" s="69">
        <f t="shared" si="56"/>
        <v>527.04</v>
      </c>
      <c r="AN125" s="67">
        <v>0</v>
      </c>
      <c r="AO125" s="67">
        <v>0</v>
      </c>
    </row>
    <row r="126" spans="1:41" s="3" customFormat="1" ht="15">
      <c r="A126" s="58" t="s">
        <v>458</v>
      </c>
      <c r="B126" s="58" t="s">
        <v>51</v>
      </c>
      <c r="C126" s="58" t="str">
        <f t="shared" si="58"/>
        <v>08402 KALAMA SCHOOL DISTRICT</v>
      </c>
      <c r="D126" s="36">
        <v>0</v>
      </c>
      <c r="E126" s="36">
        <v>21051.9</v>
      </c>
      <c r="F126" s="36">
        <v>0</v>
      </c>
      <c r="G126" s="36">
        <v>0</v>
      </c>
      <c r="H126" s="36">
        <v>0</v>
      </c>
      <c r="I126" s="36">
        <v>0</v>
      </c>
      <c r="J126" s="36">
        <v>278953.76</v>
      </c>
      <c r="K126" s="36">
        <v>0</v>
      </c>
      <c r="L126" s="36">
        <v>33038.089999999997</v>
      </c>
      <c r="M126" s="36">
        <v>0</v>
      </c>
      <c r="N126" s="50">
        <v>0</v>
      </c>
      <c r="O126" s="53">
        <v>0.19919999999999999</v>
      </c>
      <c r="P126" s="36">
        <v>0</v>
      </c>
      <c r="Q126" s="66">
        <v>0</v>
      </c>
      <c r="R126" s="66">
        <v>0</v>
      </c>
      <c r="S126" s="67">
        <v>0</v>
      </c>
      <c r="T126" s="67">
        <v>0</v>
      </c>
      <c r="U126" s="67">
        <v>0</v>
      </c>
      <c r="V126" s="36">
        <v>0</v>
      </c>
      <c r="W126" s="67">
        <v>0</v>
      </c>
      <c r="X126" s="67">
        <v>0</v>
      </c>
      <c r="Y126" s="36">
        <v>0</v>
      </c>
      <c r="Z126" s="36">
        <v>0</v>
      </c>
      <c r="AA126" s="36">
        <v>35868.36</v>
      </c>
      <c r="AB126" s="36">
        <v>138672.10999999999</v>
      </c>
      <c r="AC126" s="36">
        <v>418133.14</v>
      </c>
      <c r="AD126" s="36">
        <v>43.07</v>
      </c>
      <c r="AE126" s="36">
        <v>381144.49</v>
      </c>
      <c r="AF126" s="68">
        <f t="shared" si="51"/>
        <v>8849.419317390295</v>
      </c>
      <c r="AG126" s="68">
        <f t="shared" si="52"/>
        <v>9708.2224286045966</v>
      </c>
      <c r="AH126" s="69">
        <f t="shared" si="53"/>
        <v>858.8</v>
      </c>
      <c r="AI126" s="36">
        <v>15.13</v>
      </c>
      <c r="AJ126" s="36">
        <v>130577.72</v>
      </c>
      <c r="AK126" s="68">
        <f t="shared" si="54"/>
        <v>8630.3846662260403</v>
      </c>
      <c r="AL126" s="68">
        <f t="shared" si="55"/>
        <v>9165.3740912095163</v>
      </c>
      <c r="AM126" s="69">
        <f t="shared" si="56"/>
        <v>534.99</v>
      </c>
      <c r="AN126" s="67">
        <v>0</v>
      </c>
      <c r="AO126" s="67">
        <v>0</v>
      </c>
    </row>
    <row r="127" spans="1:41" s="3" customFormat="1" ht="15">
      <c r="A127" s="58" t="s">
        <v>467</v>
      </c>
      <c r="B127" s="58" t="s">
        <v>60</v>
      </c>
      <c r="C127" s="58" t="str">
        <f t="shared" si="58"/>
        <v>10003 KELLER SCHOOL DISTRICT</v>
      </c>
      <c r="D127" s="36">
        <v>5735.52</v>
      </c>
      <c r="E127" s="36">
        <v>0</v>
      </c>
      <c r="F127" s="36">
        <v>0</v>
      </c>
      <c r="G127" s="36">
        <v>59287.98</v>
      </c>
      <c r="H127" s="36">
        <v>3187.82</v>
      </c>
      <c r="I127" s="36">
        <v>10285.450000000001</v>
      </c>
      <c r="J127" s="36">
        <v>20155.32</v>
      </c>
      <c r="K127" s="36">
        <v>0</v>
      </c>
      <c r="L127" s="36">
        <v>1350.61</v>
      </c>
      <c r="M127" s="36">
        <v>170909</v>
      </c>
      <c r="N127" s="50">
        <v>8.3699999999999997E-2</v>
      </c>
      <c r="O127" s="53">
        <v>0.33129999999999998</v>
      </c>
      <c r="P127" s="36">
        <v>0</v>
      </c>
      <c r="Q127" s="66">
        <v>0</v>
      </c>
      <c r="R127" s="66">
        <v>0</v>
      </c>
      <c r="S127" s="67">
        <v>0</v>
      </c>
      <c r="T127" s="67">
        <v>0</v>
      </c>
      <c r="U127" s="67">
        <v>0</v>
      </c>
      <c r="V127" s="36">
        <v>0</v>
      </c>
      <c r="W127" s="67">
        <v>0</v>
      </c>
      <c r="X127" s="67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68">
        <f t="shared" si="51"/>
        <v>0</v>
      </c>
      <c r="AG127" s="68">
        <f t="shared" si="52"/>
        <v>0</v>
      </c>
      <c r="AH127" s="69">
        <f t="shared" si="53"/>
        <v>0</v>
      </c>
      <c r="AI127" s="36">
        <v>0</v>
      </c>
      <c r="AJ127" s="36">
        <v>0</v>
      </c>
      <c r="AK127" s="68">
        <f t="shared" si="54"/>
        <v>0</v>
      </c>
      <c r="AL127" s="68">
        <f t="shared" si="55"/>
        <v>0</v>
      </c>
      <c r="AM127" s="69">
        <f t="shared" si="56"/>
        <v>0</v>
      </c>
      <c r="AN127" s="67">
        <v>0</v>
      </c>
      <c r="AO127" s="67">
        <v>0</v>
      </c>
    </row>
    <row r="128" spans="1:41" s="3" customFormat="1" ht="15">
      <c r="A128" s="58" t="s">
        <v>460</v>
      </c>
      <c r="B128" s="58" t="s">
        <v>53</v>
      </c>
      <c r="C128" s="58" t="str">
        <f t="shared" si="58"/>
        <v>08458 KELSO SCHOOL DISTRICT</v>
      </c>
      <c r="D128" s="36">
        <v>0</v>
      </c>
      <c r="E128" s="36">
        <v>140344.76</v>
      </c>
      <c r="F128" s="36">
        <v>102594.6</v>
      </c>
      <c r="G128" s="36">
        <v>8514374.8800000008</v>
      </c>
      <c r="H128" s="36">
        <v>1810049.71</v>
      </c>
      <c r="I128" s="36">
        <v>1435910.55</v>
      </c>
      <c r="J128" s="36">
        <v>2086594.86</v>
      </c>
      <c r="K128" s="36">
        <v>570090.31000000006</v>
      </c>
      <c r="L128" s="36">
        <v>146801.35999999999</v>
      </c>
      <c r="M128" s="36">
        <v>2816793.18</v>
      </c>
      <c r="N128" s="50">
        <v>4.5199999999999997E-2</v>
      </c>
      <c r="O128" s="53">
        <v>0.1736</v>
      </c>
      <c r="P128" s="36">
        <v>0</v>
      </c>
      <c r="Q128" s="66">
        <v>0</v>
      </c>
      <c r="R128" s="66">
        <v>0</v>
      </c>
      <c r="S128" s="67">
        <v>0</v>
      </c>
      <c r="T128" s="67">
        <v>0</v>
      </c>
      <c r="U128" s="67">
        <v>0</v>
      </c>
      <c r="V128" s="36">
        <v>0</v>
      </c>
      <c r="W128" s="67">
        <v>0</v>
      </c>
      <c r="X128" s="67">
        <v>0</v>
      </c>
      <c r="Y128" s="36">
        <v>0</v>
      </c>
      <c r="Z128" s="36">
        <v>2874.24</v>
      </c>
      <c r="AA128" s="36">
        <v>33070.06</v>
      </c>
      <c r="AB128" s="36">
        <v>561096.24</v>
      </c>
      <c r="AC128" s="36">
        <v>3577006.3</v>
      </c>
      <c r="AD128" s="36">
        <v>382.32</v>
      </c>
      <c r="AE128" s="36">
        <v>3382713.28</v>
      </c>
      <c r="AF128" s="68">
        <f t="shared" si="51"/>
        <v>8847.85854781335</v>
      </c>
      <c r="AG128" s="68">
        <f t="shared" si="52"/>
        <v>9356.0533061309889</v>
      </c>
      <c r="AH128" s="69">
        <f t="shared" si="53"/>
        <v>508.19</v>
      </c>
      <c r="AI128" s="36">
        <v>61.2</v>
      </c>
      <c r="AJ128" s="36">
        <v>528320.12</v>
      </c>
      <c r="AK128" s="68">
        <f t="shared" si="54"/>
        <v>8632.6816993464054</v>
      </c>
      <c r="AL128" s="68">
        <f t="shared" si="55"/>
        <v>9168.2392156862734</v>
      </c>
      <c r="AM128" s="69">
        <f t="shared" si="56"/>
        <v>535.55999999999995</v>
      </c>
      <c r="AN128" s="67">
        <v>0</v>
      </c>
      <c r="AO128" s="67">
        <v>0</v>
      </c>
    </row>
    <row r="129" spans="1:41" s="3" customFormat="1" ht="15">
      <c r="A129" s="58" t="s">
        <v>426</v>
      </c>
      <c r="B129" s="58" t="s">
        <v>19</v>
      </c>
      <c r="C129" s="58" t="str">
        <f t="shared" si="58"/>
        <v>03017 KENNEWICK SCHOOL DISTRICT</v>
      </c>
      <c r="D129" s="36">
        <v>0</v>
      </c>
      <c r="E129" s="36">
        <v>706468.84</v>
      </c>
      <c r="F129" s="36">
        <v>86899.19</v>
      </c>
      <c r="G129" s="36">
        <v>28407137.18</v>
      </c>
      <c r="H129" s="36">
        <v>6491675.0599999996</v>
      </c>
      <c r="I129" s="36">
        <v>3892365.88</v>
      </c>
      <c r="J129" s="36">
        <v>7300796.3399999999</v>
      </c>
      <c r="K129" s="36">
        <v>5302401.25</v>
      </c>
      <c r="L129" s="36">
        <v>559881.47</v>
      </c>
      <c r="M129" s="36">
        <v>10766763.1</v>
      </c>
      <c r="N129" s="50">
        <v>4.1500000000000002E-2</v>
      </c>
      <c r="O129" s="53">
        <v>0.1245</v>
      </c>
      <c r="P129" s="36">
        <v>0</v>
      </c>
      <c r="Q129" s="66">
        <v>15357.420000000002</v>
      </c>
      <c r="R129" s="66">
        <v>0</v>
      </c>
      <c r="S129" s="67">
        <v>536128.95000000007</v>
      </c>
      <c r="T129" s="67">
        <v>202.95000000001164</v>
      </c>
      <c r="U129" s="67">
        <v>17152.48</v>
      </c>
      <c r="V129" s="36">
        <v>0</v>
      </c>
      <c r="W129" s="67">
        <v>0</v>
      </c>
      <c r="X129" s="67">
        <v>0</v>
      </c>
      <c r="Y129" s="36">
        <v>0</v>
      </c>
      <c r="Z129" s="36">
        <v>44763.519999999997</v>
      </c>
      <c r="AA129" s="36">
        <v>0</v>
      </c>
      <c r="AB129" s="36">
        <v>1231543.03</v>
      </c>
      <c r="AC129" s="36">
        <v>8799829.2200000007</v>
      </c>
      <c r="AD129" s="36">
        <v>920.94</v>
      </c>
      <c r="AE129" s="36">
        <v>8148106.25</v>
      </c>
      <c r="AF129" s="68">
        <f t="shared" si="51"/>
        <v>8847.5972918974094</v>
      </c>
      <c r="AG129" s="68">
        <f t="shared" si="52"/>
        <v>9555.2687688665937</v>
      </c>
      <c r="AH129" s="69">
        <f t="shared" si="53"/>
        <v>707.67</v>
      </c>
      <c r="AI129" s="36">
        <v>134.34</v>
      </c>
      <c r="AJ129" s="36">
        <v>1159256.67</v>
      </c>
      <c r="AK129" s="68">
        <f t="shared" si="54"/>
        <v>8629.2740062527901</v>
      </c>
      <c r="AL129" s="68">
        <f t="shared" si="55"/>
        <v>9167.3591633169563</v>
      </c>
      <c r="AM129" s="69">
        <f t="shared" si="56"/>
        <v>538.09</v>
      </c>
      <c r="AN129" s="67">
        <v>0</v>
      </c>
      <c r="AO129" s="67">
        <v>0</v>
      </c>
    </row>
    <row r="130" spans="1:41" s="3" customFormat="1" ht="15">
      <c r="A130" s="58" t="s">
        <v>525</v>
      </c>
      <c r="B130" s="58" t="s">
        <v>118</v>
      </c>
      <c r="C130" s="58" t="str">
        <f t="shared" si="58"/>
        <v>17415 KENT SCHOOL DISTRICT</v>
      </c>
      <c r="D130" s="36">
        <v>0</v>
      </c>
      <c r="E130" s="36">
        <v>989195.2</v>
      </c>
      <c r="F130" s="36">
        <v>404428.97</v>
      </c>
      <c r="G130" s="36">
        <v>41046695.880000003</v>
      </c>
      <c r="H130" s="36">
        <v>8674492.6600000001</v>
      </c>
      <c r="I130" s="36">
        <v>4384307.12</v>
      </c>
      <c r="J130" s="36">
        <v>10918587.880000001</v>
      </c>
      <c r="K130" s="36">
        <v>13248021.720000001</v>
      </c>
      <c r="L130" s="36">
        <v>876645.12</v>
      </c>
      <c r="M130" s="36">
        <v>16550264.59</v>
      </c>
      <c r="N130" s="50">
        <v>4.5100000000000001E-2</v>
      </c>
      <c r="O130" s="53">
        <v>0.14430000000000001</v>
      </c>
      <c r="P130" s="36">
        <v>0</v>
      </c>
      <c r="Q130" s="66">
        <v>0</v>
      </c>
      <c r="R130" s="66">
        <v>0</v>
      </c>
      <c r="S130" s="67">
        <v>0</v>
      </c>
      <c r="T130" s="67">
        <v>0</v>
      </c>
      <c r="U130" s="67">
        <v>0</v>
      </c>
      <c r="V130" s="36">
        <v>0</v>
      </c>
      <c r="W130" s="67">
        <v>0</v>
      </c>
      <c r="X130" s="67">
        <v>0</v>
      </c>
      <c r="Y130" s="36">
        <v>0</v>
      </c>
      <c r="Z130" s="36">
        <v>68741.460000000006</v>
      </c>
      <c r="AA130" s="36">
        <v>1022054.14</v>
      </c>
      <c r="AB130" s="36">
        <v>2944233.88</v>
      </c>
      <c r="AC130" s="36">
        <v>16831950.420000002</v>
      </c>
      <c r="AD130" s="36">
        <v>1542.28</v>
      </c>
      <c r="AE130" s="36">
        <v>15333480.970000001</v>
      </c>
      <c r="AF130" s="68">
        <f t="shared" si="51"/>
        <v>9942.0863721243877</v>
      </c>
      <c r="AG130" s="68">
        <f t="shared" si="52"/>
        <v>10913.680019192367</v>
      </c>
      <c r="AH130" s="69">
        <f t="shared" si="53"/>
        <v>971.59</v>
      </c>
      <c r="AI130" s="36">
        <v>285.18</v>
      </c>
      <c r="AJ130" s="36">
        <v>2772550.74</v>
      </c>
      <c r="AK130" s="68">
        <f t="shared" si="54"/>
        <v>9722.1079318325283</v>
      </c>
      <c r="AL130" s="68">
        <f t="shared" si="55"/>
        <v>10324.12469317624</v>
      </c>
      <c r="AM130" s="69">
        <f t="shared" si="56"/>
        <v>602.02</v>
      </c>
      <c r="AN130" s="67">
        <v>0</v>
      </c>
      <c r="AO130" s="67">
        <v>0</v>
      </c>
    </row>
    <row r="131" spans="1:41" s="3" customFormat="1" ht="15">
      <c r="A131" s="58" t="s">
        <v>658</v>
      </c>
      <c r="B131" s="58" t="s">
        <v>255</v>
      </c>
      <c r="C131" s="58" t="str">
        <f t="shared" si="58"/>
        <v>33212 KETTLE FALLS SCHOOL DISTRICT</v>
      </c>
      <c r="D131" s="36">
        <v>0</v>
      </c>
      <c r="E131" s="36">
        <v>38287.33</v>
      </c>
      <c r="F131" s="36">
        <v>2608.12</v>
      </c>
      <c r="G131" s="36">
        <v>1502696.2</v>
      </c>
      <c r="H131" s="36">
        <v>211253.91</v>
      </c>
      <c r="I131" s="36">
        <v>239076.81</v>
      </c>
      <c r="J131" s="36">
        <v>390005.95</v>
      </c>
      <c r="K131" s="36">
        <v>0</v>
      </c>
      <c r="L131" s="36">
        <v>32976.11</v>
      </c>
      <c r="M131" s="36">
        <v>973177.78</v>
      </c>
      <c r="N131" s="50">
        <v>3.6499999999999998E-2</v>
      </c>
      <c r="O131" s="53">
        <v>0.20169999999999999</v>
      </c>
      <c r="P131" s="36">
        <v>0</v>
      </c>
      <c r="Q131" s="66">
        <v>0</v>
      </c>
      <c r="R131" s="66">
        <v>0</v>
      </c>
      <c r="S131" s="67">
        <v>0</v>
      </c>
      <c r="T131" s="67">
        <v>0</v>
      </c>
      <c r="U131" s="67">
        <v>0</v>
      </c>
      <c r="V131" s="36">
        <v>0</v>
      </c>
      <c r="W131" s="67">
        <v>0</v>
      </c>
      <c r="X131" s="67">
        <v>0</v>
      </c>
      <c r="Y131" s="36">
        <v>0</v>
      </c>
      <c r="Z131" s="36">
        <v>0</v>
      </c>
      <c r="AA131" s="36">
        <v>22358.38</v>
      </c>
      <c r="AB131" s="36">
        <v>0</v>
      </c>
      <c r="AC131" s="36">
        <v>321316.78999999998</v>
      </c>
      <c r="AD131" s="36">
        <v>32.71</v>
      </c>
      <c r="AE131" s="36">
        <v>292210.19</v>
      </c>
      <c r="AF131" s="68">
        <f t="shared" si="51"/>
        <v>8933.3595230816263</v>
      </c>
      <c r="AG131" s="68">
        <f t="shared" si="52"/>
        <v>9823.1974931213681</v>
      </c>
      <c r="AH131" s="69">
        <f t="shared" si="53"/>
        <v>889.84</v>
      </c>
      <c r="AI131" s="36">
        <v>0</v>
      </c>
      <c r="AJ131" s="36">
        <v>0</v>
      </c>
      <c r="AK131" s="68">
        <f t="shared" si="54"/>
        <v>0</v>
      </c>
      <c r="AL131" s="68">
        <f t="shared" si="55"/>
        <v>0</v>
      </c>
      <c r="AM131" s="69">
        <f t="shared" si="56"/>
        <v>0</v>
      </c>
      <c r="AN131" s="67">
        <v>0</v>
      </c>
      <c r="AO131" s="67">
        <v>0</v>
      </c>
    </row>
    <row r="132" spans="1:41" s="3" customFormat="1" ht="15">
      <c r="A132" s="58" t="s">
        <v>428</v>
      </c>
      <c r="B132" s="58" t="s">
        <v>21</v>
      </c>
      <c r="C132" s="58" t="str">
        <f t="shared" si="58"/>
        <v>03052 KIONA BENTON SCHOOL DISTRICT</v>
      </c>
      <c r="D132" s="36">
        <v>0</v>
      </c>
      <c r="E132" s="36">
        <v>65245.38</v>
      </c>
      <c r="F132" s="36">
        <v>42443.13</v>
      </c>
      <c r="G132" s="36">
        <v>2063598.97</v>
      </c>
      <c r="H132" s="36">
        <v>333146.12</v>
      </c>
      <c r="I132" s="36">
        <v>436524.79</v>
      </c>
      <c r="J132" s="36">
        <v>800170.07</v>
      </c>
      <c r="K132" s="36">
        <v>564701.15</v>
      </c>
      <c r="L132" s="36">
        <v>41599.379999999997</v>
      </c>
      <c r="M132" s="36">
        <v>818400.64</v>
      </c>
      <c r="N132" s="76">
        <v>6.8900000000000003E-2</v>
      </c>
      <c r="O132" s="53">
        <v>0.19320000000000001</v>
      </c>
      <c r="P132" s="36">
        <v>0</v>
      </c>
      <c r="Q132" s="66">
        <v>0</v>
      </c>
      <c r="R132" s="66">
        <v>0</v>
      </c>
      <c r="S132" s="67">
        <v>0</v>
      </c>
      <c r="T132" s="67">
        <v>0</v>
      </c>
      <c r="U132" s="67">
        <v>0</v>
      </c>
      <c r="V132" s="36">
        <v>0</v>
      </c>
      <c r="W132" s="67">
        <v>0</v>
      </c>
      <c r="X132" s="67">
        <v>0</v>
      </c>
      <c r="Y132" s="36">
        <v>0</v>
      </c>
      <c r="Z132" s="36">
        <v>0</v>
      </c>
      <c r="AA132" s="36">
        <v>33753.120000000003</v>
      </c>
      <c r="AB132" s="36">
        <v>33348.67</v>
      </c>
      <c r="AC132" s="36">
        <v>902768.39</v>
      </c>
      <c r="AD132" s="36">
        <v>94.56</v>
      </c>
      <c r="AE132" s="36">
        <v>853180.66</v>
      </c>
      <c r="AF132" s="68">
        <f t="shared" si="51"/>
        <v>9022.6381133671748</v>
      </c>
      <c r="AG132" s="68">
        <f t="shared" si="52"/>
        <v>9547.0430414551611</v>
      </c>
      <c r="AH132" s="69">
        <f t="shared" si="53"/>
        <v>524.4</v>
      </c>
      <c r="AI132" s="36">
        <v>3.57</v>
      </c>
      <c r="AJ132" s="36">
        <v>31355.66</v>
      </c>
      <c r="AK132" s="68">
        <f t="shared" si="54"/>
        <v>8783.0980392156871</v>
      </c>
      <c r="AL132" s="68">
        <f t="shared" si="55"/>
        <v>9341.3641456582627</v>
      </c>
      <c r="AM132" s="69">
        <f t="shared" si="56"/>
        <v>558.27</v>
      </c>
      <c r="AN132" s="67">
        <v>0</v>
      </c>
      <c r="AO132" s="67">
        <v>0</v>
      </c>
    </row>
    <row r="133" spans="1:41" s="3" customFormat="1" ht="15">
      <c r="A133" s="58" t="s">
        <v>536</v>
      </c>
      <c r="B133" s="58" t="s">
        <v>129</v>
      </c>
      <c r="C133" s="58" t="str">
        <f t="shared" si="58"/>
        <v>19403 KITTITAS SCHOOL DISTRICT</v>
      </c>
      <c r="D133" s="36">
        <v>0</v>
      </c>
      <c r="E133" s="36">
        <v>17890.5</v>
      </c>
      <c r="F133" s="36">
        <v>0</v>
      </c>
      <c r="G133" s="36">
        <v>800027.94</v>
      </c>
      <c r="H133" s="36">
        <v>136201.26</v>
      </c>
      <c r="I133" s="36">
        <v>100049.33</v>
      </c>
      <c r="J133" s="36">
        <v>202176.54</v>
      </c>
      <c r="K133" s="36">
        <v>65430.239999999998</v>
      </c>
      <c r="L133" s="36">
        <v>16519.060000000001</v>
      </c>
      <c r="M133" s="36">
        <v>420326.71</v>
      </c>
      <c r="N133" s="50">
        <v>9.5600000000000004E-2</v>
      </c>
      <c r="O133" s="53">
        <v>0.26379999999999998</v>
      </c>
      <c r="P133" s="36">
        <v>0</v>
      </c>
      <c r="Q133" s="66">
        <v>0</v>
      </c>
      <c r="R133" s="66">
        <v>0</v>
      </c>
      <c r="S133" s="67">
        <v>187403.86</v>
      </c>
      <c r="T133" s="67">
        <v>15478.109</v>
      </c>
      <c r="U133" s="67">
        <v>5839.04</v>
      </c>
      <c r="V133" s="36">
        <v>0</v>
      </c>
      <c r="W133" s="67">
        <v>0</v>
      </c>
      <c r="X133" s="67">
        <v>0</v>
      </c>
      <c r="Y133" s="36">
        <v>0</v>
      </c>
      <c r="Z133" s="36">
        <v>63.35</v>
      </c>
      <c r="AA133" s="36">
        <v>0</v>
      </c>
      <c r="AB133" s="36">
        <v>270338.33</v>
      </c>
      <c r="AC133" s="36">
        <v>495079.94</v>
      </c>
      <c r="AD133" s="36">
        <v>54</v>
      </c>
      <c r="AE133" s="36">
        <v>477848.52</v>
      </c>
      <c r="AF133" s="68">
        <f t="shared" si="51"/>
        <v>8849.0466666666671</v>
      </c>
      <c r="AG133" s="68">
        <f t="shared" si="52"/>
        <v>9168.1470370370371</v>
      </c>
      <c r="AH133" s="69">
        <f t="shared" si="53"/>
        <v>319.10000000000002</v>
      </c>
      <c r="AI133" s="36">
        <v>29.47</v>
      </c>
      <c r="AJ133" s="36">
        <v>254229.65</v>
      </c>
      <c r="AK133" s="68">
        <f t="shared" si="54"/>
        <v>8626.7271801832376</v>
      </c>
      <c r="AL133" s="68">
        <f t="shared" si="55"/>
        <v>9173.3400067865641</v>
      </c>
      <c r="AM133" s="69">
        <f t="shared" si="56"/>
        <v>546.61</v>
      </c>
      <c r="AN133" s="67">
        <v>0</v>
      </c>
      <c r="AO133" s="67">
        <v>98561</v>
      </c>
    </row>
    <row r="134" spans="1:41" s="3" customFormat="1" ht="15">
      <c r="A134" s="58" t="s">
        <v>543</v>
      </c>
      <c r="B134" s="58" t="s">
        <v>136</v>
      </c>
      <c r="C134" s="58" t="str">
        <f t="shared" si="58"/>
        <v>20402 KLICKITAT SCHOOL DISTRICT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31710.12</v>
      </c>
      <c r="K134" s="36">
        <v>0</v>
      </c>
      <c r="L134" s="36">
        <v>0</v>
      </c>
      <c r="M134" s="36">
        <v>0</v>
      </c>
      <c r="N134" s="50">
        <v>3.3599999999999998E-2</v>
      </c>
      <c r="O134" s="53">
        <v>0.30470000000000003</v>
      </c>
      <c r="P134" s="36">
        <v>0</v>
      </c>
      <c r="Q134" s="66">
        <v>0</v>
      </c>
      <c r="R134" s="66">
        <v>0</v>
      </c>
      <c r="S134" s="67">
        <v>0</v>
      </c>
      <c r="T134" s="67">
        <v>0</v>
      </c>
      <c r="U134" s="67">
        <v>0</v>
      </c>
      <c r="V134" s="36">
        <v>0</v>
      </c>
      <c r="W134" s="67">
        <v>0</v>
      </c>
      <c r="X134" s="67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68">
        <f t="shared" si="51"/>
        <v>0</v>
      </c>
      <c r="AG134" s="68">
        <f t="shared" si="52"/>
        <v>0</v>
      </c>
      <c r="AH134" s="69">
        <f t="shared" si="53"/>
        <v>0</v>
      </c>
      <c r="AI134" s="36">
        <v>0</v>
      </c>
      <c r="AJ134" s="36">
        <v>0</v>
      </c>
      <c r="AK134" s="68">
        <f t="shared" si="54"/>
        <v>0</v>
      </c>
      <c r="AL134" s="68">
        <f t="shared" si="55"/>
        <v>0</v>
      </c>
      <c r="AM134" s="69">
        <f t="shared" si="56"/>
        <v>0</v>
      </c>
      <c r="AN134" s="67">
        <v>0</v>
      </c>
      <c r="AO134" s="67">
        <v>0</v>
      </c>
    </row>
    <row r="135" spans="1:41" s="3" customFormat="1" ht="15">
      <c r="A135" s="58" t="s">
        <v>615</v>
      </c>
      <c r="B135" s="58" t="s">
        <v>209</v>
      </c>
      <c r="C135" s="58" t="str">
        <f t="shared" si="58"/>
        <v>29311 LA CONNER SCHOOL DISTRICT</v>
      </c>
      <c r="D135" s="36">
        <v>0</v>
      </c>
      <c r="E135" s="36">
        <v>20319.099999999999</v>
      </c>
      <c r="F135" s="36">
        <v>18593.39</v>
      </c>
      <c r="G135" s="36">
        <v>933769.67</v>
      </c>
      <c r="H135" s="36">
        <v>143705.26</v>
      </c>
      <c r="I135" s="36">
        <v>181692.41</v>
      </c>
      <c r="J135" s="36">
        <v>221433.97</v>
      </c>
      <c r="K135" s="36">
        <v>14656.59</v>
      </c>
      <c r="L135" s="36">
        <v>16898.91</v>
      </c>
      <c r="M135" s="36">
        <v>471242.35</v>
      </c>
      <c r="N135" s="50">
        <v>4.5400000000000003E-2</v>
      </c>
      <c r="O135" s="53">
        <v>0.2016</v>
      </c>
      <c r="P135" s="36">
        <v>0</v>
      </c>
      <c r="Q135" s="66">
        <v>0</v>
      </c>
      <c r="R135" s="66">
        <v>0</v>
      </c>
      <c r="S135" s="67">
        <v>0</v>
      </c>
      <c r="T135" s="67">
        <v>0</v>
      </c>
      <c r="U135" s="67">
        <v>0</v>
      </c>
      <c r="V135" s="36">
        <v>0</v>
      </c>
      <c r="W135" s="67">
        <v>0</v>
      </c>
      <c r="X135" s="67">
        <v>0</v>
      </c>
      <c r="Y135" s="36">
        <v>0</v>
      </c>
      <c r="Z135" s="36">
        <v>0</v>
      </c>
      <c r="AA135" s="36">
        <v>0</v>
      </c>
      <c r="AB135" s="36">
        <v>9691.66</v>
      </c>
      <c r="AC135" s="36">
        <v>238586.47</v>
      </c>
      <c r="AD135" s="36">
        <v>23.36</v>
      </c>
      <c r="AE135" s="36">
        <v>225612.55</v>
      </c>
      <c r="AF135" s="68">
        <f t="shared" ref="AF135:AF198" si="59">IFERROR(AE135/AD135,0)</f>
        <v>9658.0714897260277</v>
      </c>
      <c r="AG135" s="68">
        <f t="shared" ref="AG135:AG198" si="60">IFERROR(AC135/AD135,0)</f>
        <v>10213.461900684932</v>
      </c>
      <c r="AH135" s="69">
        <f t="shared" ref="AH135:AH198" si="61">ROUND(AG135-AF135,2)</f>
        <v>555.39</v>
      </c>
      <c r="AI135" s="36">
        <v>0.96</v>
      </c>
      <c r="AJ135" s="36">
        <v>9051.9699999999993</v>
      </c>
      <c r="AK135" s="68">
        <f t="shared" ref="AK135:AK198" si="62">IFERROR(AJ135/AI135,0)</f>
        <v>9429.1354166666661</v>
      </c>
      <c r="AL135" s="68">
        <f t="shared" ref="AL135:AL198" si="63">IFERROR(AB135/AI135,0)</f>
        <v>10095.479166666666</v>
      </c>
      <c r="AM135" s="69">
        <f t="shared" ref="AM135:AM198" si="64">ROUND(AL135-AK135,2)</f>
        <v>666.34</v>
      </c>
      <c r="AN135" s="67">
        <v>0</v>
      </c>
      <c r="AO135" s="67">
        <v>0</v>
      </c>
    </row>
    <row r="136" spans="1:41" s="3" customFormat="1" ht="15">
      <c r="A136" s="58" t="s">
        <v>446</v>
      </c>
      <c r="B136" s="58" t="s">
        <v>39</v>
      </c>
      <c r="C136" s="58" t="str">
        <f t="shared" si="58"/>
        <v>06101 LACENTER SCHOOL DISTRICT</v>
      </c>
      <c r="D136" s="36">
        <v>0</v>
      </c>
      <c r="E136" s="36">
        <v>0</v>
      </c>
      <c r="F136" s="36">
        <v>0</v>
      </c>
      <c r="G136" s="36">
        <v>3073481.73</v>
      </c>
      <c r="H136" s="36">
        <v>564147.61</v>
      </c>
      <c r="I136" s="36">
        <v>0</v>
      </c>
      <c r="J136" s="36">
        <v>340785.66</v>
      </c>
      <c r="K136" s="36">
        <v>91526.87</v>
      </c>
      <c r="L136" s="36">
        <v>57926.79</v>
      </c>
      <c r="M136" s="36">
        <v>0</v>
      </c>
      <c r="N136" s="50">
        <v>2.5899999999999999E-2</v>
      </c>
      <c r="O136" s="53">
        <v>0.17330000000000001</v>
      </c>
      <c r="P136" s="36">
        <v>0</v>
      </c>
      <c r="Q136" s="66">
        <v>0</v>
      </c>
      <c r="R136" s="66">
        <v>0</v>
      </c>
      <c r="S136" s="67">
        <v>0</v>
      </c>
      <c r="T136" s="67">
        <v>0</v>
      </c>
      <c r="U136" s="67">
        <v>0</v>
      </c>
      <c r="V136" s="36">
        <v>0</v>
      </c>
      <c r="W136" s="67">
        <v>0</v>
      </c>
      <c r="X136" s="67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487774.61</v>
      </c>
      <c r="AD136" s="36">
        <v>48.3</v>
      </c>
      <c r="AE136" s="36">
        <v>453383.74</v>
      </c>
      <c r="AF136" s="68">
        <f t="shared" si="59"/>
        <v>9386.826915113872</v>
      </c>
      <c r="AG136" s="68">
        <f t="shared" si="60"/>
        <v>10098.853209109731</v>
      </c>
      <c r="AH136" s="69">
        <f t="shared" si="61"/>
        <v>712.03</v>
      </c>
      <c r="AI136" s="36">
        <v>0</v>
      </c>
      <c r="AJ136" s="36">
        <v>0</v>
      </c>
      <c r="AK136" s="68">
        <f t="shared" si="62"/>
        <v>0</v>
      </c>
      <c r="AL136" s="68">
        <f t="shared" si="63"/>
        <v>0</v>
      </c>
      <c r="AM136" s="69">
        <f t="shared" si="64"/>
        <v>0</v>
      </c>
      <c r="AN136" s="67">
        <v>0</v>
      </c>
      <c r="AO136" s="67">
        <v>0</v>
      </c>
    </row>
    <row r="137" spans="1:41" s="3" customFormat="1" ht="15">
      <c r="A137" s="58" t="s">
        <v>682</v>
      </c>
      <c r="B137" s="58" t="s">
        <v>279</v>
      </c>
      <c r="C137" s="58" t="str">
        <f t="shared" si="58"/>
        <v>38126 LACROSSE JOINT SCHOOL DISTRICT</v>
      </c>
      <c r="D137" s="36">
        <v>0</v>
      </c>
      <c r="E137" s="36">
        <v>0</v>
      </c>
      <c r="F137" s="36">
        <v>0</v>
      </c>
      <c r="G137" s="36">
        <v>121268.78</v>
      </c>
      <c r="H137" s="36">
        <v>14261.73</v>
      </c>
      <c r="I137" s="36">
        <v>13211.58</v>
      </c>
      <c r="J137" s="36">
        <v>30650.880000000001</v>
      </c>
      <c r="K137" s="36">
        <v>0</v>
      </c>
      <c r="L137" s="36">
        <v>2219.5300000000002</v>
      </c>
      <c r="M137" s="36">
        <v>298475.12</v>
      </c>
      <c r="N137" s="50">
        <v>6.8000000000000005E-2</v>
      </c>
      <c r="O137" s="53">
        <v>0.25090000000000001</v>
      </c>
      <c r="P137" s="36">
        <v>0</v>
      </c>
      <c r="Q137" s="66">
        <v>0</v>
      </c>
      <c r="R137" s="66">
        <v>0</v>
      </c>
      <c r="S137" s="67">
        <v>0</v>
      </c>
      <c r="T137" s="67">
        <v>0</v>
      </c>
      <c r="U137" s="67">
        <v>0</v>
      </c>
      <c r="V137" s="36">
        <v>0</v>
      </c>
      <c r="W137" s="67">
        <v>0</v>
      </c>
      <c r="X137" s="67">
        <v>0</v>
      </c>
      <c r="Y137" s="36">
        <v>0</v>
      </c>
      <c r="Z137" s="36">
        <v>0</v>
      </c>
      <c r="AA137" s="36">
        <v>0</v>
      </c>
      <c r="AB137" s="36">
        <v>6780.84</v>
      </c>
      <c r="AC137" s="36">
        <v>49741.27</v>
      </c>
      <c r="AD137" s="36">
        <v>5.36</v>
      </c>
      <c r="AE137" s="36">
        <v>47950.75</v>
      </c>
      <c r="AF137" s="68">
        <f t="shared" si="59"/>
        <v>8946.0354477611927</v>
      </c>
      <c r="AG137" s="68">
        <f t="shared" si="60"/>
        <v>9280.0876865671635</v>
      </c>
      <c r="AH137" s="69">
        <f t="shared" si="61"/>
        <v>334.05</v>
      </c>
      <c r="AI137" s="36">
        <v>0.72</v>
      </c>
      <c r="AJ137" s="36">
        <v>6340.19</v>
      </c>
      <c r="AK137" s="68">
        <f t="shared" si="62"/>
        <v>8805.8194444444434</v>
      </c>
      <c r="AL137" s="68">
        <f t="shared" si="63"/>
        <v>9417.8333333333339</v>
      </c>
      <c r="AM137" s="69">
        <f t="shared" si="64"/>
        <v>612.01</v>
      </c>
      <c r="AN137" s="67">
        <v>0</v>
      </c>
      <c r="AO137" s="67">
        <v>0</v>
      </c>
    </row>
    <row r="138" spans="1:41" s="3" customFormat="1" ht="15">
      <c r="A138" s="58" t="s">
        <v>435</v>
      </c>
      <c r="B138" s="58" t="s">
        <v>28</v>
      </c>
      <c r="C138" s="58" t="str">
        <f t="shared" si="58"/>
        <v>04129 LAKE CHELAN SCHOOL DISTRICT</v>
      </c>
      <c r="D138" s="36">
        <v>0</v>
      </c>
      <c r="E138" s="36">
        <v>15581.54</v>
      </c>
      <c r="F138" s="36">
        <v>27611.69</v>
      </c>
      <c r="G138" s="36">
        <v>1501457.76</v>
      </c>
      <c r="H138" s="36">
        <v>177193.88</v>
      </c>
      <c r="I138" s="36">
        <v>384821.13</v>
      </c>
      <c r="J138" s="36">
        <v>509804.87</v>
      </c>
      <c r="K138" s="36">
        <v>587647.25</v>
      </c>
      <c r="L138" s="36">
        <v>37921.1</v>
      </c>
      <c r="M138" s="36">
        <v>1015767.44</v>
      </c>
      <c r="N138" s="50">
        <v>4.36E-2</v>
      </c>
      <c r="O138" s="53">
        <v>0.1855</v>
      </c>
      <c r="P138" s="36">
        <v>0</v>
      </c>
      <c r="Q138" s="66">
        <v>0</v>
      </c>
      <c r="R138" s="66">
        <v>0</v>
      </c>
      <c r="S138" s="67">
        <v>0</v>
      </c>
      <c r="T138" s="67">
        <v>0</v>
      </c>
      <c r="U138" s="67">
        <v>0</v>
      </c>
      <c r="V138" s="36">
        <v>0</v>
      </c>
      <c r="W138" s="67">
        <v>0</v>
      </c>
      <c r="X138" s="67">
        <v>0</v>
      </c>
      <c r="Y138" s="36">
        <v>0</v>
      </c>
      <c r="Z138" s="36">
        <v>3762.8</v>
      </c>
      <c r="AA138" s="36">
        <v>14276.12</v>
      </c>
      <c r="AB138" s="36">
        <v>108378.98</v>
      </c>
      <c r="AC138" s="36">
        <v>1216143.92</v>
      </c>
      <c r="AD138" s="36">
        <v>130.57</v>
      </c>
      <c r="AE138" s="36">
        <v>1155300.3999999999</v>
      </c>
      <c r="AF138" s="68">
        <f t="shared" si="59"/>
        <v>8848.1305047101177</v>
      </c>
      <c r="AG138" s="68">
        <f t="shared" si="60"/>
        <v>9314.1144213831667</v>
      </c>
      <c r="AH138" s="69">
        <f t="shared" si="61"/>
        <v>465.98</v>
      </c>
      <c r="AI138" s="36">
        <v>11.82</v>
      </c>
      <c r="AJ138" s="36">
        <v>101974.07</v>
      </c>
      <c r="AK138" s="68">
        <f t="shared" si="62"/>
        <v>8627.247884940778</v>
      </c>
      <c r="AL138" s="68">
        <f t="shared" si="63"/>
        <v>9169.1184433164126</v>
      </c>
      <c r="AM138" s="69">
        <f t="shared" si="64"/>
        <v>541.87</v>
      </c>
      <c r="AN138" s="67">
        <v>4200</v>
      </c>
      <c r="AO138" s="67">
        <v>15.12</v>
      </c>
    </row>
    <row r="139" spans="1:41" s="3" customFormat="1" ht="15">
      <c r="A139" s="58" t="s">
        <v>623</v>
      </c>
      <c r="B139" s="58" t="s">
        <v>217</v>
      </c>
      <c r="C139" s="58" t="str">
        <f t="shared" si="58"/>
        <v>31004 LAKE STEVENS SCHOOL DISTRICT</v>
      </c>
      <c r="D139" s="36">
        <v>0</v>
      </c>
      <c r="E139" s="36">
        <v>145022.13</v>
      </c>
      <c r="F139" s="36">
        <v>0</v>
      </c>
      <c r="G139" s="36">
        <v>19350966.760000002</v>
      </c>
      <c r="H139" s="36">
        <v>3880320.57</v>
      </c>
      <c r="I139" s="36">
        <v>0</v>
      </c>
      <c r="J139" s="36">
        <v>2060206.16</v>
      </c>
      <c r="K139" s="36">
        <v>1341957.3999999999</v>
      </c>
      <c r="L139" s="36">
        <v>326383.57</v>
      </c>
      <c r="M139" s="36">
        <v>6585553.25</v>
      </c>
      <c r="N139" s="50">
        <v>0.04</v>
      </c>
      <c r="O139" s="53">
        <v>0.13489999999999999</v>
      </c>
      <c r="P139" s="36">
        <v>0</v>
      </c>
      <c r="Q139" s="66">
        <v>0</v>
      </c>
      <c r="R139" s="66">
        <v>0</v>
      </c>
      <c r="S139" s="67">
        <v>0</v>
      </c>
      <c r="T139" s="67">
        <v>0</v>
      </c>
      <c r="U139" s="67">
        <v>0</v>
      </c>
      <c r="V139" s="36">
        <v>0</v>
      </c>
      <c r="W139" s="67">
        <v>0</v>
      </c>
      <c r="X139" s="67">
        <v>0</v>
      </c>
      <c r="Y139" s="36">
        <v>0</v>
      </c>
      <c r="Z139" s="36">
        <v>0</v>
      </c>
      <c r="AA139" s="36">
        <v>309027.34999999998</v>
      </c>
      <c r="AB139" s="36">
        <v>1159612.8500000001</v>
      </c>
      <c r="AC139" s="36">
        <v>4651391.07</v>
      </c>
      <c r="AD139" s="36">
        <v>439.12</v>
      </c>
      <c r="AE139" s="36">
        <v>4365766.92</v>
      </c>
      <c r="AF139" s="68">
        <f t="shared" si="59"/>
        <v>9942.0817088722906</v>
      </c>
      <c r="AG139" s="68">
        <f t="shared" si="60"/>
        <v>10592.5283977045</v>
      </c>
      <c r="AH139" s="69">
        <f t="shared" si="61"/>
        <v>650.45000000000005</v>
      </c>
      <c r="AI139" s="36">
        <v>112.32</v>
      </c>
      <c r="AJ139" s="36">
        <v>1092048.19</v>
      </c>
      <c r="AK139" s="68">
        <f t="shared" si="62"/>
        <v>9722.6512642450143</v>
      </c>
      <c r="AL139" s="68">
        <f t="shared" si="63"/>
        <v>10324.188479344732</v>
      </c>
      <c r="AM139" s="69">
        <f t="shared" si="64"/>
        <v>601.54</v>
      </c>
      <c r="AN139" s="67">
        <v>0</v>
      </c>
      <c r="AO139" s="67">
        <v>0</v>
      </c>
    </row>
    <row r="140" spans="1:41" s="3" customFormat="1" ht="15">
      <c r="A140" s="58" t="s">
        <v>524</v>
      </c>
      <c r="B140" s="58" t="s">
        <v>117</v>
      </c>
      <c r="C140" s="58" t="str">
        <f t="shared" si="58"/>
        <v>17414 LAKE WASHINGTON SCHOOL DISTRICT</v>
      </c>
      <c r="D140" s="36">
        <v>0</v>
      </c>
      <c r="E140" s="36">
        <v>215628.29</v>
      </c>
      <c r="F140" s="36">
        <v>0</v>
      </c>
      <c r="G140" s="36">
        <v>34136771.469999999</v>
      </c>
      <c r="H140" s="36">
        <v>5692304.6799999997</v>
      </c>
      <c r="I140" s="36">
        <v>0</v>
      </c>
      <c r="J140" s="36">
        <v>2834345.68</v>
      </c>
      <c r="K140" s="36">
        <v>7650432.3499999996</v>
      </c>
      <c r="L140" s="36">
        <v>1058583.53</v>
      </c>
      <c r="M140" s="36">
        <v>17267469.18</v>
      </c>
      <c r="N140" s="50">
        <v>3.4799999999999998E-2</v>
      </c>
      <c r="O140" s="53">
        <v>0.1157</v>
      </c>
      <c r="P140" s="36">
        <v>0</v>
      </c>
      <c r="Q140" s="66">
        <v>0</v>
      </c>
      <c r="R140" s="66">
        <v>0</v>
      </c>
      <c r="S140" s="67">
        <v>0</v>
      </c>
      <c r="T140" s="67">
        <v>0</v>
      </c>
      <c r="U140" s="67">
        <v>0</v>
      </c>
      <c r="V140" s="36">
        <v>0</v>
      </c>
      <c r="W140" s="67">
        <v>0</v>
      </c>
      <c r="X140" s="67">
        <v>0</v>
      </c>
      <c r="Y140" s="36">
        <v>0</v>
      </c>
      <c r="Z140" s="36">
        <v>180669.69</v>
      </c>
      <c r="AA140" s="36">
        <v>246622.78</v>
      </c>
      <c r="AB140" s="36">
        <v>3453970.61</v>
      </c>
      <c r="AC140" s="36">
        <v>18524188.420000002</v>
      </c>
      <c r="AD140" s="36">
        <v>1729.35</v>
      </c>
      <c r="AE140" s="36">
        <v>17193354.129999999</v>
      </c>
      <c r="AF140" s="68">
        <f t="shared" si="59"/>
        <v>9942.0904559516584</v>
      </c>
      <c r="AG140" s="68">
        <f t="shared" si="60"/>
        <v>10711.647971781307</v>
      </c>
      <c r="AH140" s="69">
        <f t="shared" si="61"/>
        <v>769.56</v>
      </c>
      <c r="AI140" s="36">
        <v>334.57</v>
      </c>
      <c r="AJ140" s="36">
        <v>3252720.82</v>
      </c>
      <c r="AK140" s="68">
        <f t="shared" si="62"/>
        <v>9722.0934931404481</v>
      </c>
      <c r="AL140" s="68">
        <f t="shared" si="63"/>
        <v>10323.611232328063</v>
      </c>
      <c r="AM140" s="69">
        <f t="shared" si="64"/>
        <v>601.52</v>
      </c>
      <c r="AN140" s="67">
        <v>0</v>
      </c>
      <c r="AO140" s="67">
        <v>0</v>
      </c>
    </row>
    <row r="141" spans="1:41" s="3" customFormat="1" ht="15">
      <c r="A141" s="58" t="s">
        <v>631</v>
      </c>
      <c r="B141" s="58" t="s">
        <v>225</v>
      </c>
      <c r="C141" s="58" t="str">
        <f t="shared" si="58"/>
        <v>31306 LAKEWOOD SCHOOL DISTRICT</v>
      </c>
      <c r="D141" s="36">
        <v>0</v>
      </c>
      <c r="E141" s="36">
        <v>16325.5</v>
      </c>
      <c r="F141" s="36">
        <v>0</v>
      </c>
      <c r="G141" s="36">
        <v>4904373.7</v>
      </c>
      <c r="H141" s="36">
        <v>1114316.3899999999</v>
      </c>
      <c r="I141" s="36">
        <v>0</v>
      </c>
      <c r="J141" s="36">
        <v>828034.89</v>
      </c>
      <c r="K141" s="36">
        <v>494263.5</v>
      </c>
      <c r="L141" s="36">
        <v>86147.21</v>
      </c>
      <c r="M141" s="36">
        <v>2454264.1800000002</v>
      </c>
      <c r="N141" s="50">
        <v>4.6600000000000003E-2</v>
      </c>
      <c r="O141" s="53">
        <v>0.1772</v>
      </c>
      <c r="P141" s="36">
        <v>0</v>
      </c>
      <c r="Q141" s="66">
        <v>0</v>
      </c>
      <c r="R141" s="66">
        <v>0</v>
      </c>
      <c r="S141" s="67">
        <v>0</v>
      </c>
      <c r="T141" s="67">
        <v>0</v>
      </c>
      <c r="U141" s="67">
        <v>0</v>
      </c>
      <c r="V141" s="36">
        <v>0</v>
      </c>
      <c r="W141" s="67">
        <v>0</v>
      </c>
      <c r="X141" s="67">
        <v>0</v>
      </c>
      <c r="Y141" s="36">
        <v>0</v>
      </c>
      <c r="Z141" s="36">
        <v>0</v>
      </c>
      <c r="AA141" s="36">
        <v>416.96</v>
      </c>
      <c r="AB141" s="36">
        <v>177430.59</v>
      </c>
      <c r="AC141" s="36">
        <v>1264158.6200000001</v>
      </c>
      <c r="AD141" s="36">
        <v>122.39</v>
      </c>
      <c r="AE141" s="36">
        <v>1183248.95</v>
      </c>
      <c r="AF141" s="68">
        <f t="shared" si="59"/>
        <v>9667.8564425198128</v>
      </c>
      <c r="AG141" s="68">
        <f t="shared" si="60"/>
        <v>10328.937168069288</v>
      </c>
      <c r="AH141" s="69">
        <f t="shared" si="61"/>
        <v>661.08</v>
      </c>
      <c r="AI141" s="36">
        <v>17.68</v>
      </c>
      <c r="AJ141" s="36">
        <v>167021.64000000001</v>
      </c>
      <c r="AK141" s="68">
        <f t="shared" si="62"/>
        <v>9446.9253393665167</v>
      </c>
      <c r="AL141" s="68">
        <f t="shared" si="63"/>
        <v>10035.666855203619</v>
      </c>
      <c r="AM141" s="69">
        <f t="shared" si="64"/>
        <v>588.74</v>
      </c>
      <c r="AN141" s="67">
        <v>0</v>
      </c>
      <c r="AO141" s="67">
        <v>0</v>
      </c>
    </row>
    <row r="142" spans="1:41" s="3" customFormat="1" ht="15">
      <c r="A142" s="58" t="s">
        <v>683</v>
      </c>
      <c r="B142" s="58" t="s">
        <v>280</v>
      </c>
      <c r="C142" s="58" t="str">
        <f t="shared" si="58"/>
        <v>38264 LAMONT SCHOOL DISTRICT</v>
      </c>
      <c r="D142" s="36">
        <v>0</v>
      </c>
      <c r="E142" s="36">
        <v>0</v>
      </c>
      <c r="F142" s="36">
        <v>266.02999999999997</v>
      </c>
      <c r="G142" s="36">
        <v>35129.31</v>
      </c>
      <c r="H142" s="36">
        <v>8107.53</v>
      </c>
      <c r="I142" s="36">
        <v>8415.3700000000008</v>
      </c>
      <c r="J142" s="36">
        <v>11843.85</v>
      </c>
      <c r="K142" s="36">
        <v>0</v>
      </c>
      <c r="L142" s="36">
        <v>727.26</v>
      </c>
      <c r="M142" s="36">
        <v>70241.02</v>
      </c>
      <c r="N142" s="50">
        <v>2.2200000000000001E-2</v>
      </c>
      <c r="O142" s="53">
        <v>0.2974</v>
      </c>
      <c r="P142" s="36">
        <v>0</v>
      </c>
      <c r="Q142" s="66">
        <v>0</v>
      </c>
      <c r="R142" s="66">
        <v>0</v>
      </c>
      <c r="S142" s="67">
        <v>0</v>
      </c>
      <c r="T142" s="67">
        <v>0</v>
      </c>
      <c r="U142" s="67">
        <v>0</v>
      </c>
      <c r="V142" s="36">
        <v>0</v>
      </c>
      <c r="W142" s="67">
        <v>0</v>
      </c>
      <c r="X142" s="67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68">
        <f t="shared" si="59"/>
        <v>0</v>
      </c>
      <c r="AG142" s="68">
        <f t="shared" si="60"/>
        <v>0</v>
      </c>
      <c r="AH142" s="69">
        <f t="shared" si="61"/>
        <v>0</v>
      </c>
      <c r="AI142" s="36">
        <v>0</v>
      </c>
      <c r="AJ142" s="36">
        <v>0</v>
      </c>
      <c r="AK142" s="68">
        <f t="shared" si="62"/>
        <v>0</v>
      </c>
      <c r="AL142" s="68">
        <f t="shared" si="63"/>
        <v>0</v>
      </c>
      <c r="AM142" s="69">
        <f t="shared" si="64"/>
        <v>0</v>
      </c>
      <c r="AN142" s="67">
        <v>0</v>
      </c>
      <c r="AO142" s="67">
        <v>0</v>
      </c>
    </row>
    <row r="143" spans="1:41" s="3" customFormat="1" ht="15">
      <c r="A143" s="58" t="s">
        <v>646</v>
      </c>
      <c r="B143" s="58" t="s">
        <v>240</v>
      </c>
      <c r="C143" s="58" t="str">
        <f t="shared" si="58"/>
        <v>32362 LIBERTY SCHOOL DISTRICT</v>
      </c>
      <c r="D143" s="36">
        <v>0</v>
      </c>
      <c r="E143" s="36">
        <v>6003.42</v>
      </c>
      <c r="F143" s="36">
        <v>0</v>
      </c>
      <c r="G143" s="36">
        <v>668063.68000000005</v>
      </c>
      <c r="H143" s="36">
        <v>123284.44</v>
      </c>
      <c r="I143" s="36">
        <v>0</v>
      </c>
      <c r="J143" s="36">
        <v>155736.20000000001</v>
      </c>
      <c r="K143" s="36">
        <v>0</v>
      </c>
      <c r="L143" s="36">
        <v>17765.77</v>
      </c>
      <c r="M143" s="36">
        <v>791184.8</v>
      </c>
      <c r="N143" s="50">
        <v>2.0500000000000001E-2</v>
      </c>
      <c r="O143" s="53">
        <v>0.20730000000000001</v>
      </c>
      <c r="P143" s="36">
        <v>0</v>
      </c>
      <c r="Q143" s="66">
        <v>0</v>
      </c>
      <c r="R143" s="66">
        <v>0</v>
      </c>
      <c r="S143" s="67">
        <v>0</v>
      </c>
      <c r="T143" s="67">
        <v>0</v>
      </c>
      <c r="U143" s="67">
        <v>0</v>
      </c>
      <c r="V143" s="36">
        <v>0</v>
      </c>
      <c r="W143" s="67">
        <v>0</v>
      </c>
      <c r="X143" s="67">
        <v>0</v>
      </c>
      <c r="Y143" s="36">
        <v>0</v>
      </c>
      <c r="Z143" s="36">
        <v>0</v>
      </c>
      <c r="AA143" s="36">
        <v>0</v>
      </c>
      <c r="AB143" s="36">
        <v>1667.12</v>
      </c>
      <c r="AC143" s="36">
        <v>228882.74</v>
      </c>
      <c r="AD143" s="36">
        <v>24.4</v>
      </c>
      <c r="AE143" s="36">
        <v>215834.71</v>
      </c>
      <c r="AF143" s="68">
        <f t="shared" si="59"/>
        <v>8845.6848360655731</v>
      </c>
      <c r="AG143" s="68">
        <f t="shared" si="60"/>
        <v>9380.4401639344269</v>
      </c>
      <c r="AH143" s="69">
        <f t="shared" si="61"/>
        <v>534.76</v>
      </c>
      <c r="AI143" s="36">
        <v>0.18</v>
      </c>
      <c r="AJ143" s="36">
        <v>1610.74</v>
      </c>
      <c r="AK143" s="68">
        <f t="shared" si="62"/>
        <v>8948.5555555555566</v>
      </c>
      <c r="AL143" s="68">
        <f t="shared" si="63"/>
        <v>9261.7777777777774</v>
      </c>
      <c r="AM143" s="69">
        <f t="shared" si="64"/>
        <v>313.22000000000003</v>
      </c>
      <c r="AN143" s="67">
        <v>0</v>
      </c>
      <c r="AO143" s="67">
        <v>0</v>
      </c>
    </row>
    <row r="144" spans="1:41" s="3" customFormat="1" ht="15">
      <c r="A144" s="58" t="s">
        <v>422</v>
      </c>
      <c r="B144" s="58" t="s">
        <v>15</v>
      </c>
      <c r="C144" s="58" t="str">
        <f t="shared" si="58"/>
        <v>01158 LIND SCHOOL DISTRICT</v>
      </c>
      <c r="D144" s="36">
        <v>0</v>
      </c>
      <c r="E144" s="36">
        <v>6596.22</v>
      </c>
      <c r="F144" s="36">
        <v>0</v>
      </c>
      <c r="G144" s="36">
        <v>199659.5</v>
      </c>
      <c r="H144" s="36">
        <v>23493.29</v>
      </c>
      <c r="I144" s="36">
        <v>61712.68</v>
      </c>
      <c r="J144" s="36">
        <v>99322.08</v>
      </c>
      <c r="K144" s="36">
        <v>41238.42</v>
      </c>
      <c r="L144" s="36">
        <v>5298.56</v>
      </c>
      <c r="M144" s="36">
        <v>967167.15</v>
      </c>
      <c r="N144" s="50">
        <v>4.8599999999999997E-2</v>
      </c>
      <c r="O144" s="53">
        <v>0.18890000000000001</v>
      </c>
      <c r="P144" s="36">
        <v>0</v>
      </c>
      <c r="Q144" s="66">
        <v>0</v>
      </c>
      <c r="R144" s="66">
        <v>0</v>
      </c>
      <c r="S144" s="67">
        <v>0</v>
      </c>
      <c r="T144" s="67">
        <v>0</v>
      </c>
      <c r="U144" s="67">
        <v>0</v>
      </c>
      <c r="V144" s="36">
        <v>0</v>
      </c>
      <c r="W144" s="67">
        <v>0</v>
      </c>
      <c r="X144" s="67">
        <v>0</v>
      </c>
      <c r="Y144" s="36">
        <v>0</v>
      </c>
      <c r="Z144" s="36">
        <v>0</v>
      </c>
      <c r="AA144" s="36">
        <v>0</v>
      </c>
      <c r="AB144" s="36">
        <v>47542.64</v>
      </c>
      <c r="AC144" s="36">
        <v>111598.14</v>
      </c>
      <c r="AD144" s="36">
        <v>12.17</v>
      </c>
      <c r="AE144" s="36">
        <v>107572.68</v>
      </c>
      <c r="AF144" s="68">
        <f t="shared" si="59"/>
        <v>8839.1684470008204</v>
      </c>
      <c r="AG144" s="68">
        <f t="shared" si="60"/>
        <v>9169.9375513557934</v>
      </c>
      <c r="AH144" s="69">
        <f t="shared" si="61"/>
        <v>330.77</v>
      </c>
      <c r="AI144" s="36">
        <v>5.18</v>
      </c>
      <c r="AJ144" s="36">
        <v>44779.33</v>
      </c>
      <c r="AK144" s="68">
        <f t="shared" si="62"/>
        <v>8644.6583011583025</v>
      </c>
      <c r="AL144" s="68">
        <f t="shared" si="63"/>
        <v>9178.1158301158302</v>
      </c>
      <c r="AM144" s="69">
        <f t="shared" si="64"/>
        <v>533.46</v>
      </c>
      <c r="AN144" s="67">
        <v>0</v>
      </c>
      <c r="AO144" s="67">
        <v>0</v>
      </c>
    </row>
    <row r="145" spans="1:41" s="3" customFormat="1" ht="15">
      <c r="A145" s="58" t="s">
        <v>455</v>
      </c>
      <c r="B145" s="58" t="s">
        <v>48</v>
      </c>
      <c r="C145" s="58" t="str">
        <f t="shared" si="58"/>
        <v>08122 LONGVIEW SCHOOL DISTRICT</v>
      </c>
      <c r="D145" s="36">
        <v>0</v>
      </c>
      <c r="E145" s="36">
        <v>126367.1</v>
      </c>
      <c r="F145" s="36">
        <v>46885.15</v>
      </c>
      <c r="G145" s="36">
        <v>10971699.619999999</v>
      </c>
      <c r="H145" s="36">
        <v>2358429.87</v>
      </c>
      <c r="I145" s="36">
        <v>1470091.48</v>
      </c>
      <c r="J145" s="36">
        <v>2717954.99</v>
      </c>
      <c r="K145" s="36">
        <v>736983.35</v>
      </c>
      <c r="L145" s="36">
        <v>183371.85</v>
      </c>
      <c r="M145" s="36">
        <v>3357596.01</v>
      </c>
      <c r="N145" s="50">
        <v>5.0099999999999999E-2</v>
      </c>
      <c r="O145" s="53">
        <v>0.153</v>
      </c>
      <c r="P145" s="36">
        <v>0</v>
      </c>
      <c r="Q145" s="66">
        <v>0</v>
      </c>
      <c r="R145" s="66">
        <v>0</v>
      </c>
      <c r="S145" s="67">
        <v>0</v>
      </c>
      <c r="T145" s="67">
        <v>0</v>
      </c>
      <c r="U145" s="67">
        <v>0</v>
      </c>
      <c r="V145" s="36">
        <v>0</v>
      </c>
      <c r="W145" s="67">
        <v>0</v>
      </c>
      <c r="X145" s="67">
        <v>0</v>
      </c>
      <c r="Y145" s="36">
        <v>0</v>
      </c>
      <c r="Z145" s="36">
        <v>0</v>
      </c>
      <c r="AA145" s="36">
        <v>235458.9</v>
      </c>
      <c r="AB145" s="36">
        <v>460899.48</v>
      </c>
      <c r="AC145" s="36">
        <v>3467246.4</v>
      </c>
      <c r="AD145" s="36">
        <v>365.59</v>
      </c>
      <c r="AE145" s="36">
        <v>3234635.24</v>
      </c>
      <c r="AF145" s="68">
        <f t="shared" si="59"/>
        <v>8847.7125741951386</v>
      </c>
      <c r="AG145" s="68">
        <f t="shared" si="60"/>
        <v>9483.9749446100832</v>
      </c>
      <c r="AH145" s="69">
        <f t="shared" si="61"/>
        <v>636.26</v>
      </c>
      <c r="AI145" s="36">
        <v>50.27</v>
      </c>
      <c r="AJ145" s="36">
        <v>433780.22</v>
      </c>
      <c r="AK145" s="68">
        <f t="shared" si="62"/>
        <v>8629.0077581062251</v>
      </c>
      <c r="AL145" s="68">
        <f t="shared" si="63"/>
        <v>9168.4798090312306</v>
      </c>
      <c r="AM145" s="69">
        <f t="shared" si="64"/>
        <v>539.47</v>
      </c>
      <c r="AN145" s="67">
        <v>0</v>
      </c>
      <c r="AO145" s="67">
        <v>0</v>
      </c>
    </row>
    <row r="146" spans="1:41" s="3" customFormat="1" ht="15">
      <c r="A146" s="58" t="s">
        <v>654</v>
      </c>
      <c r="B146" s="58" t="s">
        <v>249</v>
      </c>
      <c r="C146" s="58" t="str">
        <f t="shared" si="58"/>
        <v>33183 LOON LAKE SCHOOL DISTRICT</v>
      </c>
      <c r="D146" s="36">
        <v>0</v>
      </c>
      <c r="E146" s="36">
        <v>0</v>
      </c>
      <c r="F146" s="36">
        <v>0</v>
      </c>
      <c r="G146" s="36">
        <v>170924.17</v>
      </c>
      <c r="H146" s="36">
        <v>38385.300000000003</v>
      </c>
      <c r="I146" s="36">
        <v>32622.54</v>
      </c>
      <c r="J146" s="36">
        <v>83841.960000000006</v>
      </c>
      <c r="K146" s="36">
        <v>0</v>
      </c>
      <c r="L146" s="36">
        <v>7376.44</v>
      </c>
      <c r="M146" s="36">
        <v>0</v>
      </c>
      <c r="N146" s="50">
        <v>9.0499999999999997E-2</v>
      </c>
      <c r="O146" s="53">
        <v>0.2944</v>
      </c>
      <c r="P146" s="36">
        <v>0</v>
      </c>
      <c r="Q146" s="66">
        <v>0</v>
      </c>
      <c r="R146" s="66">
        <v>0</v>
      </c>
      <c r="S146" s="67">
        <v>0</v>
      </c>
      <c r="T146" s="67">
        <v>0</v>
      </c>
      <c r="U146" s="67">
        <v>0</v>
      </c>
      <c r="V146" s="36">
        <v>0</v>
      </c>
      <c r="W146" s="67">
        <v>0</v>
      </c>
      <c r="X146" s="67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68">
        <f t="shared" si="59"/>
        <v>0</v>
      </c>
      <c r="AG146" s="68">
        <f t="shared" si="60"/>
        <v>0</v>
      </c>
      <c r="AH146" s="69">
        <f t="shared" si="61"/>
        <v>0</v>
      </c>
      <c r="AI146" s="36">
        <v>0</v>
      </c>
      <c r="AJ146" s="36">
        <v>0</v>
      </c>
      <c r="AK146" s="68">
        <f t="shared" si="62"/>
        <v>0</v>
      </c>
      <c r="AL146" s="68">
        <f t="shared" si="63"/>
        <v>0</v>
      </c>
      <c r="AM146" s="69">
        <f t="shared" si="64"/>
        <v>0</v>
      </c>
      <c r="AN146" s="67">
        <v>0</v>
      </c>
      <c r="AO146" s="67">
        <v>0</v>
      </c>
    </row>
    <row r="147" spans="1:41" s="3" customFormat="1" ht="15">
      <c r="A147" s="58" t="s">
        <v>609</v>
      </c>
      <c r="B147" s="58" t="s">
        <v>203</v>
      </c>
      <c r="C147" s="58" t="str">
        <f t="shared" si="58"/>
        <v>28144 LOPEZ SCHOOL DISTRICT</v>
      </c>
      <c r="D147" s="36">
        <v>0</v>
      </c>
      <c r="E147" s="36">
        <v>7775.42</v>
      </c>
      <c r="F147" s="36">
        <v>0</v>
      </c>
      <c r="G147" s="36">
        <v>399536.29</v>
      </c>
      <c r="H147" s="36">
        <v>57752.39</v>
      </c>
      <c r="I147" s="36">
        <v>43947.3</v>
      </c>
      <c r="J147" s="36">
        <v>99024.87</v>
      </c>
      <c r="K147" s="36">
        <v>34948.43</v>
      </c>
      <c r="L147" s="36">
        <v>7343.67</v>
      </c>
      <c r="M147" s="36">
        <v>189597.64</v>
      </c>
      <c r="N147" s="50">
        <v>9.01E-2</v>
      </c>
      <c r="O147" s="53">
        <v>0.2641</v>
      </c>
      <c r="P147" s="36">
        <v>0</v>
      </c>
      <c r="Q147" s="66">
        <v>0</v>
      </c>
      <c r="R147" s="66">
        <v>0</v>
      </c>
      <c r="S147" s="67">
        <v>0</v>
      </c>
      <c r="T147" s="67">
        <v>0</v>
      </c>
      <c r="U147" s="67">
        <v>0</v>
      </c>
      <c r="V147" s="36">
        <v>0</v>
      </c>
      <c r="W147" s="67">
        <v>0</v>
      </c>
      <c r="X147" s="67">
        <v>0</v>
      </c>
      <c r="Y147" s="36">
        <v>0</v>
      </c>
      <c r="Z147" s="36">
        <v>0</v>
      </c>
      <c r="AA147" s="36">
        <v>0</v>
      </c>
      <c r="AB147" s="36">
        <v>8371.8799999999992</v>
      </c>
      <c r="AC147" s="36">
        <v>90581.23</v>
      </c>
      <c r="AD147" s="36">
        <v>8.42</v>
      </c>
      <c r="AE147" s="36">
        <v>80734.66</v>
      </c>
      <c r="AF147" s="68">
        <f t="shared" si="59"/>
        <v>9588.4394299287414</v>
      </c>
      <c r="AG147" s="68">
        <f t="shared" si="60"/>
        <v>10757.865795724465</v>
      </c>
      <c r="AH147" s="69">
        <f t="shared" si="61"/>
        <v>1169.43</v>
      </c>
      <c r="AI147" s="36">
        <v>0.84</v>
      </c>
      <c r="AJ147" s="36">
        <v>7818.89</v>
      </c>
      <c r="AK147" s="68">
        <f t="shared" si="62"/>
        <v>9308.2023809523816</v>
      </c>
      <c r="AL147" s="68">
        <f t="shared" si="63"/>
        <v>9966.5238095238092</v>
      </c>
      <c r="AM147" s="69">
        <f t="shared" si="64"/>
        <v>658.32</v>
      </c>
      <c r="AN147" s="67">
        <v>0</v>
      </c>
      <c r="AO147" s="67">
        <v>0</v>
      </c>
    </row>
    <row r="148" spans="1:41" s="3" customFormat="1" ht="15">
      <c r="A148" s="58" t="s">
        <v>773</v>
      </c>
      <c r="B148" s="62" t="s">
        <v>774</v>
      </c>
      <c r="C148" s="59" t="str">
        <f>CONCATENATE(B148," ",A148," CHARTER")</f>
        <v>32903 LUMEN CHARTER</v>
      </c>
      <c r="D148" s="36">
        <v>0</v>
      </c>
      <c r="E148" s="36">
        <v>0</v>
      </c>
      <c r="F148" s="36">
        <v>0</v>
      </c>
      <c r="G148" s="36">
        <v>18915.43</v>
      </c>
      <c r="H148" s="36">
        <v>1923.16</v>
      </c>
      <c r="I148" s="36">
        <v>10630.23</v>
      </c>
      <c r="J148" s="36">
        <v>21681.46</v>
      </c>
      <c r="K148" s="36">
        <v>0</v>
      </c>
      <c r="L148" s="36">
        <v>0</v>
      </c>
      <c r="M148" s="36">
        <v>2638.45</v>
      </c>
      <c r="N148" s="50">
        <v>3.7100000000000001E-2</v>
      </c>
      <c r="O148" s="53">
        <v>0.14399999999999999</v>
      </c>
      <c r="P148" s="36">
        <v>0</v>
      </c>
      <c r="Q148" s="66">
        <v>0</v>
      </c>
      <c r="R148" s="66">
        <v>0</v>
      </c>
      <c r="S148" s="67">
        <v>0</v>
      </c>
      <c r="T148" s="67">
        <v>0</v>
      </c>
      <c r="U148" s="67">
        <v>0</v>
      </c>
      <c r="V148" s="36">
        <v>0</v>
      </c>
      <c r="W148" s="67">
        <v>0</v>
      </c>
      <c r="X148" s="67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68">
        <f t="shared" si="59"/>
        <v>0</v>
      </c>
      <c r="AG148" s="68">
        <f t="shared" si="60"/>
        <v>0</v>
      </c>
      <c r="AH148" s="69">
        <f t="shared" si="61"/>
        <v>0</v>
      </c>
      <c r="AI148" s="36">
        <v>0</v>
      </c>
      <c r="AJ148" s="36">
        <v>0</v>
      </c>
      <c r="AK148" s="68">
        <f t="shared" si="62"/>
        <v>0</v>
      </c>
      <c r="AL148" s="68">
        <f t="shared" si="63"/>
        <v>0</v>
      </c>
      <c r="AM148" s="69">
        <f t="shared" si="64"/>
        <v>0</v>
      </c>
      <c r="AN148" s="67">
        <v>0</v>
      </c>
      <c r="AO148" s="67">
        <v>0</v>
      </c>
    </row>
    <row r="149" spans="1:41" s="3" customFormat="1" ht="15">
      <c r="A149" s="58" t="s">
        <v>798</v>
      </c>
      <c r="B149" s="58" t="s">
        <v>413</v>
      </c>
      <c r="C149" s="61" t="str">
        <f>CONCATENATE(B149," ",A149," TRIBAL COMPACT")</f>
        <v>37903 LUMMI TRIBAL COMPACT</v>
      </c>
      <c r="D149" s="36">
        <v>0</v>
      </c>
      <c r="E149" s="36">
        <v>0</v>
      </c>
      <c r="F149" s="36">
        <v>0</v>
      </c>
      <c r="G149" s="36">
        <v>835613.12</v>
      </c>
      <c r="H149" s="36">
        <v>238952.49</v>
      </c>
      <c r="I149" s="36">
        <v>125506.12</v>
      </c>
      <c r="J149" s="36">
        <v>254000.49</v>
      </c>
      <c r="K149" s="36">
        <v>0</v>
      </c>
      <c r="L149" s="36">
        <v>0</v>
      </c>
      <c r="M149" s="36">
        <v>557791.43999999994</v>
      </c>
      <c r="N149" s="50">
        <v>0</v>
      </c>
      <c r="O149" s="53">
        <v>0</v>
      </c>
      <c r="P149" s="36">
        <v>0</v>
      </c>
      <c r="Q149" s="66">
        <v>0</v>
      </c>
      <c r="R149" s="66">
        <v>0</v>
      </c>
      <c r="S149" s="67">
        <v>0</v>
      </c>
      <c r="T149" s="67">
        <v>0</v>
      </c>
      <c r="U149" s="67">
        <v>0</v>
      </c>
      <c r="V149" s="36">
        <v>0</v>
      </c>
      <c r="W149" s="67">
        <v>0</v>
      </c>
      <c r="X149" s="67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62544.76</v>
      </c>
      <c r="AD149" s="36">
        <v>6.47</v>
      </c>
      <c r="AE149" s="36">
        <v>60042.95</v>
      </c>
      <c r="AF149" s="68">
        <f t="shared" si="59"/>
        <v>9280.2086553323024</v>
      </c>
      <c r="AG149" s="68">
        <f t="shared" si="60"/>
        <v>9666.8871715610512</v>
      </c>
      <c r="AH149" s="69">
        <f t="shared" si="61"/>
        <v>386.68</v>
      </c>
      <c r="AI149" s="36">
        <v>0</v>
      </c>
      <c r="AJ149" s="36">
        <v>0</v>
      </c>
      <c r="AK149" s="68">
        <f t="shared" si="62"/>
        <v>0</v>
      </c>
      <c r="AL149" s="68">
        <f t="shared" si="63"/>
        <v>0</v>
      </c>
      <c r="AM149" s="69">
        <f t="shared" si="64"/>
        <v>0</v>
      </c>
      <c r="AN149" s="67">
        <v>0</v>
      </c>
      <c r="AO149" s="67">
        <v>0</v>
      </c>
    </row>
    <row r="150" spans="1:41" s="3" customFormat="1" ht="15">
      <c r="A150" s="58" t="s">
        <v>547</v>
      </c>
      <c r="B150" s="58" t="s">
        <v>140</v>
      </c>
      <c r="C150" s="58" t="str">
        <f t="shared" ref="C150:C173" si="65">CONCATENATE(B150," ",A150," SCHOOL DISTRICT")</f>
        <v>20406 LYLE SCHOOL DISTRICT</v>
      </c>
      <c r="D150" s="36">
        <v>0</v>
      </c>
      <c r="E150" s="36">
        <v>12041.48</v>
      </c>
      <c r="F150" s="36">
        <v>6227.64</v>
      </c>
      <c r="G150" s="36">
        <v>0</v>
      </c>
      <c r="H150" s="36">
        <v>0</v>
      </c>
      <c r="I150" s="36">
        <v>62128.25</v>
      </c>
      <c r="J150" s="36">
        <v>107321.87</v>
      </c>
      <c r="K150" s="36">
        <v>0</v>
      </c>
      <c r="L150" s="36">
        <v>5921.93</v>
      </c>
      <c r="M150" s="36">
        <v>0</v>
      </c>
      <c r="N150" s="50">
        <v>1.72E-2</v>
      </c>
      <c r="O150" s="53">
        <v>0.16400000000000001</v>
      </c>
      <c r="P150" s="36">
        <v>0</v>
      </c>
      <c r="Q150" s="66">
        <v>0</v>
      </c>
      <c r="R150" s="66">
        <v>0</v>
      </c>
      <c r="S150" s="67">
        <v>0</v>
      </c>
      <c r="T150" s="67">
        <v>0</v>
      </c>
      <c r="U150" s="67">
        <v>0</v>
      </c>
      <c r="V150" s="36">
        <v>0</v>
      </c>
      <c r="W150" s="67">
        <v>0</v>
      </c>
      <c r="X150" s="67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68">
        <f t="shared" si="59"/>
        <v>0</v>
      </c>
      <c r="AG150" s="68">
        <f t="shared" si="60"/>
        <v>0</v>
      </c>
      <c r="AH150" s="69">
        <f t="shared" si="61"/>
        <v>0</v>
      </c>
      <c r="AI150" s="36">
        <v>0</v>
      </c>
      <c r="AJ150" s="36">
        <v>0</v>
      </c>
      <c r="AK150" s="68">
        <f t="shared" si="62"/>
        <v>0</v>
      </c>
      <c r="AL150" s="68">
        <f t="shared" si="63"/>
        <v>0</v>
      </c>
      <c r="AM150" s="69">
        <f t="shared" si="64"/>
        <v>0</v>
      </c>
      <c r="AN150" s="67">
        <v>0</v>
      </c>
      <c r="AO150" s="67">
        <v>0</v>
      </c>
    </row>
    <row r="151" spans="1:41" s="3" customFormat="1" ht="15">
      <c r="A151" s="58" t="s">
        <v>678</v>
      </c>
      <c r="B151" s="58" t="s">
        <v>275</v>
      </c>
      <c r="C151" s="58" t="str">
        <f t="shared" si="65"/>
        <v>37504 LYNDEN SCHOOL DISTRICT</v>
      </c>
      <c r="D151" s="36">
        <v>0</v>
      </c>
      <c r="E151" s="36">
        <v>19865.63</v>
      </c>
      <c r="F151" s="36">
        <v>0</v>
      </c>
      <c r="G151" s="36">
        <v>6129018.54</v>
      </c>
      <c r="H151" s="36">
        <v>789041.4</v>
      </c>
      <c r="I151" s="36">
        <v>0</v>
      </c>
      <c r="J151" s="36">
        <v>1032015.8</v>
      </c>
      <c r="K151" s="36">
        <v>831434.49</v>
      </c>
      <c r="L151" s="36">
        <v>113712.21</v>
      </c>
      <c r="M151" s="36">
        <v>1965090.99</v>
      </c>
      <c r="N151" s="50">
        <v>9.4000000000000004E-3</v>
      </c>
      <c r="O151" s="53">
        <v>0.14910000000000001</v>
      </c>
      <c r="P151" s="36">
        <v>0</v>
      </c>
      <c r="Q151" s="66">
        <v>0</v>
      </c>
      <c r="R151" s="66">
        <v>0</v>
      </c>
      <c r="S151" s="67">
        <v>0</v>
      </c>
      <c r="T151" s="67">
        <v>0</v>
      </c>
      <c r="U151" s="67">
        <v>0</v>
      </c>
      <c r="V151" s="36">
        <v>0</v>
      </c>
      <c r="W151" s="67">
        <v>0</v>
      </c>
      <c r="X151" s="67">
        <v>0</v>
      </c>
      <c r="Y151" s="36">
        <v>0</v>
      </c>
      <c r="Z151" s="36">
        <v>3248.72</v>
      </c>
      <c r="AA151" s="36">
        <v>0</v>
      </c>
      <c r="AB151" s="36">
        <v>162326.39000000001</v>
      </c>
      <c r="AC151" s="36">
        <v>1871679.66</v>
      </c>
      <c r="AD151" s="36">
        <v>168.64</v>
      </c>
      <c r="AE151" s="36">
        <v>1615057.08</v>
      </c>
      <c r="AF151" s="68">
        <f t="shared" si="59"/>
        <v>9576.9513757115765</v>
      </c>
      <c r="AG151" s="68">
        <f t="shared" si="60"/>
        <v>11098.669710626187</v>
      </c>
      <c r="AH151" s="69">
        <f t="shared" si="61"/>
        <v>1521.72</v>
      </c>
      <c r="AI151" s="36">
        <v>16.34</v>
      </c>
      <c r="AJ151" s="36">
        <v>152849.73000000001</v>
      </c>
      <c r="AK151" s="68">
        <f t="shared" si="62"/>
        <v>9354.3286413708702</v>
      </c>
      <c r="AL151" s="68">
        <f t="shared" si="63"/>
        <v>9934.2955936352519</v>
      </c>
      <c r="AM151" s="69">
        <f t="shared" si="64"/>
        <v>579.97</v>
      </c>
      <c r="AN151" s="67">
        <v>0</v>
      </c>
      <c r="AO151" s="67">
        <v>0</v>
      </c>
    </row>
    <row r="152" spans="1:41" s="3" customFormat="1" ht="15">
      <c r="A152" s="58" t="s">
        <v>699</v>
      </c>
      <c r="B152" s="58" t="s">
        <v>297</v>
      </c>
      <c r="C152" s="58" t="str">
        <f t="shared" si="65"/>
        <v>39120 MABTON SCHOOL DISTRICT</v>
      </c>
      <c r="D152" s="36">
        <v>0</v>
      </c>
      <c r="E152" s="36">
        <v>52728.03</v>
      </c>
      <c r="F152" s="36">
        <v>0</v>
      </c>
      <c r="G152" s="36">
        <v>934119.3</v>
      </c>
      <c r="H152" s="36">
        <v>172831.66</v>
      </c>
      <c r="I152" s="36">
        <v>234487.37</v>
      </c>
      <c r="J152" s="36">
        <v>506480.29</v>
      </c>
      <c r="K152" s="36">
        <v>515377.97</v>
      </c>
      <c r="L152" s="36">
        <v>21402.03</v>
      </c>
      <c r="M152" s="36">
        <v>249025.01</v>
      </c>
      <c r="N152" s="50">
        <v>7.7799999999999994E-2</v>
      </c>
      <c r="O152" s="53">
        <v>0.21229999999999999</v>
      </c>
      <c r="P152" s="36">
        <v>0</v>
      </c>
      <c r="Q152" s="66">
        <v>0</v>
      </c>
      <c r="R152" s="66">
        <v>0</v>
      </c>
      <c r="S152" s="67">
        <v>0</v>
      </c>
      <c r="T152" s="67">
        <v>0</v>
      </c>
      <c r="U152" s="67">
        <v>0</v>
      </c>
      <c r="V152" s="36">
        <v>0</v>
      </c>
      <c r="W152" s="67">
        <v>0</v>
      </c>
      <c r="X152" s="67">
        <v>0</v>
      </c>
      <c r="Y152" s="36">
        <v>0</v>
      </c>
      <c r="Z152" s="36">
        <v>0</v>
      </c>
      <c r="AA152" s="36">
        <v>64455.78</v>
      </c>
      <c r="AB152" s="36">
        <v>133595.73000000001</v>
      </c>
      <c r="AC152" s="36">
        <v>509238.49</v>
      </c>
      <c r="AD152" s="36">
        <v>50.92</v>
      </c>
      <c r="AE152" s="36">
        <v>450607.98</v>
      </c>
      <c r="AF152" s="68">
        <f t="shared" si="59"/>
        <v>8849.3318931657486</v>
      </c>
      <c r="AG152" s="68">
        <f t="shared" si="60"/>
        <v>10000.755891594657</v>
      </c>
      <c r="AH152" s="69">
        <f t="shared" si="61"/>
        <v>1151.42</v>
      </c>
      <c r="AI152" s="36">
        <v>14.57</v>
      </c>
      <c r="AJ152" s="36">
        <v>125776.64</v>
      </c>
      <c r="AK152" s="68">
        <f t="shared" si="62"/>
        <v>8632.576527110501</v>
      </c>
      <c r="AL152" s="68">
        <f t="shared" si="63"/>
        <v>9169.2333562113945</v>
      </c>
      <c r="AM152" s="69">
        <f t="shared" si="64"/>
        <v>536.66</v>
      </c>
      <c r="AN152" s="67">
        <v>2000</v>
      </c>
      <c r="AO152" s="67">
        <v>0</v>
      </c>
    </row>
    <row r="153" spans="1:41" s="3" customFormat="1" ht="15">
      <c r="A153" s="58" t="s">
        <v>465</v>
      </c>
      <c r="B153" s="58" t="s">
        <v>58</v>
      </c>
      <c r="C153" s="58" t="str">
        <f t="shared" si="65"/>
        <v>09207 MANSFIELD SCHOOL DISTRICT</v>
      </c>
      <c r="D153" s="36">
        <v>0</v>
      </c>
      <c r="E153" s="36">
        <v>3879.34</v>
      </c>
      <c r="F153" s="36">
        <v>2720.54</v>
      </c>
      <c r="G153" s="36">
        <v>0</v>
      </c>
      <c r="H153" s="36">
        <v>0</v>
      </c>
      <c r="I153" s="36">
        <v>29921.3</v>
      </c>
      <c r="J153" s="36">
        <v>44985.83</v>
      </c>
      <c r="K153" s="36">
        <v>0</v>
      </c>
      <c r="L153" s="36">
        <v>0</v>
      </c>
      <c r="M153" s="36">
        <v>148619.82999999999</v>
      </c>
      <c r="N153" s="50">
        <v>5.2299999999999999E-2</v>
      </c>
      <c r="O153" s="53">
        <v>0.34100000000000003</v>
      </c>
      <c r="P153" s="36">
        <v>0</v>
      </c>
      <c r="Q153" s="66">
        <v>0</v>
      </c>
      <c r="R153" s="66">
        <v>0</v>
      </c>
      <c r="S153" s="67">
        <v>0</v>
      </c>
      <c r="T153" s="67">
        <v>0</v>
      </c>
      <c r="U153" s="67">
        <v>0</v>
      </c>
      <c r="V153" s="36">
        <v>0</v>
      </c>
      <c r="W153" s="67">
        <v>0</v>
      </c>
      <c r="X153" s="67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23320.58</v>
      </c>
      <c r="AD153" s="36">
        <v>2.54</v>
      </c>
      <c r="AE153" s="36">
        <v>22361.439999999999</v>
      </c>
      <c r="AF153" s="68">
        <f t="shared" si="59"/>
        <v>8803.71653543307</v>
      </c>
      <c r="AG153" s="68">
        <f t="shared" si="60"/>
        <v>9181.3307086614186</v>
      </c>
      <c r="AH153" s="69">
        <f t="shared" si="61"/>
        <v>377.61</v>
      </c>
      <c r="AI153" s="36">
        <v>0</v>
      </c>
      <c r="AJ153" s="36">
        <v>0</v>
      </c>
      <c r="AK153" s="68">
        <f t="shared" si="62"/>
        <v>0</v>
      </c>
      <c r="AL153" s="68">
        <f t="shared" si="63"/>
        <v>0</v>
      </c>
      <c r="AM153" s="69">
        <f t="shared" si="64"/>
        <v>0</v>
      </c>
      <c r="AN153" s="67">
        <v>0</v>
      </c>
      <c r="AO153" s="67">
        <v>0</v>
      </c>
    </row>
    <row r="154" spans="1:41" s="3" customFormat="1" ht="15">
      <c r="A154" s="58" t="s">
        <v>432</v>
      </c>
      <c r="B154" s="58" t="s">
        <v>25</v>
      </c>
      <c r="C154" s="58" t="str">
        <f t="shared" si="65"/>
        <v>04019 MANSON SCHOOL DISTRICT</v>
      </c>
      <c r="D154" s="36">
        <v>0</v>
      </c>
      <c r="E154" s="36">
        <v>7985.64</v>
      </c>
      <c r="F154" s="36">
        <v>8465.4599999999991</v>
      </c>
      <c r="G154" s="36">
        <v>923740.99</v>
      </c>
      <c r="H154" s="36">
        <v>108974.15</v>
      </c>
      <c r="I154" s="36">
        <v>187735.35</v>
      </c>
      <c r="J154" s="36">
        <v>269499.45</v>
      </c>
      <c r="K154" s="36">
        <v>370226.96</v>
      </c>
      <c r="L154" s="36">
        <v>19324.169999999998</v>
      </c>
      <c r="M154" s="36">
        <v>448882.66</v>
      </c>
      <c r="N154" s="76">
        <v>0.1431</v>
      </c>
      <c r="O154" s="53">
        <v>0.1157</v>
      </c>
      <c r="P154" s="36">
        <v>0</v>
      </c>
      <c r="Q154" s="66">
        <v>0</v>
      </c>
      <c r="R154" s="66">
        <v>0</v>
      </c>
      <c r="S154" s="67">
        <v>0</v>
      </c>
      <c r="T154" s="67">
        <v>0</v>
      </c>
      <c r="U154" s="67">
        <v>0</v>
      </c>
      <c r="V154" s="36">
        <v>0</v>
      </c>
      <c r="W154" s="67">
        <v>0</v>
      </c>
      <c r="X154" s="67">
        <v>0</v>
      </c>
      <c r="Y154" s="36">
        <v>0</v>
      </c>
      <c r="Z154" s="36">
        <v>0</v>
      </c>
      <c r="AA154" s="36">
        <v>42431.37</v>
      </c>
      <c r="AB154" s="36">
        <v>53120.67</v>
      </c>
      <c r="AC154" s="36">
        <v>482677.81</v>
      </c>
      <c r="AD154" s="36">
        <v>52.66</v>
      </c>
      <c r="AE154" s="36">
        <v>465867.81</v>
      </c>
      <c r="AF154" s="68">
        <f t="shared" si="59"/>
        <v>8846.7111659703769</v>
      </c>
      <c r="AG154" s="68">
        <f t="shared" si="60"/>
        <v>9165.9287884542355</v>
      </c>
      <c r="AH154" s="69">
        <f t="shared" si="61"/>
        <v>319.22000000000003</v>
      </c>
      <c r="AI154" s="36">
        <v>5.78</v>
      </c>
      <c r="AJ154" s="36">
        <v>49849.56</v>
      </c>
      <c r="AK154" s="68">
        <f t="shared" si="62"/>
        <v>8624.491349480968</v>
      </c>
      <c r="AL154" s="68">
        <f t="shared" si="63"/>
        <v>9190.4273356401372</v>
      </c>
      <c r="AM154" s="69">
        <f t="shared" si="64"/>
        <v>565.94000000000005</v>
      </c>
      <c r="AN154" s="67">
        <v>0</v>
      </c>
      <c r="AO154" s="67">
        <v>0</v>
      </c>
    </row>
    <row r="155" spans="1:41" s="3" customFormat="1" ht="15">
      <c r="A155" s="58" t="s">
        <v>572</v>
      </c>
      <c r="B155" s="58" t="s">
        <v>165</v>
      </c>
      <c r="C155" s="58" t="str">
        <f t="shared" si="65"/>
        <v>23311 MARY M KNIGHT SCHOOL DISTRICT</v>
      </c>
      <c r="D155" s="36">
        <v>15774.47</v>
      </c>
      <c r="E155" s="36">
        <v>0</v>
      </c>
      <c r="F155" s="36">
        <v>0</v>
      </c>
      <c r="G155" s="36">
        <v>1340166.25</v>
      </c>
      <c r="H155" s="36">
        <v>258140.84</v>
      </c>
      <c r="I155" s="36">
        <v>52362.28</v>
      </c>
      <c r="J155" s="36">
        <v>183060.15</v>
      </c>
      <c r="K155" s="36">
        <v>0</v>
      </c>
      <c r="L155" s="36">
        <v>26285.03</v>
      </c>
      <c r="M155" s="36">
        <v>322550.38</v>
      </c>
      <c r="N155" s="50">
        <v>1.3299999999999999E-2</v>
      </c>
      <c r="O155" s="53">
        <v>5.7500000000000002E-2</v>
      </c>
      <c r="P155" s="36">
        <v>0</v>
      </c>
      <c r="Q155" s="66">
        <v>0</v>
      </c>
      <c r="R155" s="66">
        <v>0</v>
      </c>
      <c r="S155" s="67">
        <v>0</v>
      </c>
      <c r="T155" s="67">
        <v>0</v>
      </c>
      <c r="U155" s="67">
        <v>0</v>
      </c>
      <c r="V155" s="36">
        <v>0</v>
      </c>
      <c r="W155" s="67">
        <v>0</v>
      </c>
      <c r="X155" s="67">
        <v>0</v>
      </c>
      <c r="Y155" s="36">
        <v>0</v>
      </c>
      <c r="Z155" s="36">
        <v>0</v>
      </c>
      <c r="AA155" s="36">
        <v>0</v>
      </c>
      <c r="AB155" s="36">
        <v>51222.2</v>
      </c>
      <c r="AC155" s="36">
        <v>165928.74</v>
      </c>
      <c r="AD155" s="36">
        <v>17.7</v>
      </c>
      <c r="AE155" s="36">
        <v>156518.39000000001</v>
      </c>
      <c r="AF155" s="68">
        <f t="shared" si="59"/>
        <v>8842.8468926553687</v>
      </c>
      <c r="AG155" s="68">
        <f t="shared" si="60"/>
        <v>9374.5050847457624</v>
      </c>
      <c r="AH155" s="69">
        <f t="shared" si="61"/>
        <v>531.66</v>
      </c>
      <c r="AI155" s="36">
        <v>5.58</v>
      </c>
      <c r="AJ155" s="36">
        <v>48208.72</v>
      </c>
      <c r="AK155" s="68">
        <f t="shared" si="62"/>
        <v>8639.5555555555547</v>
      </c>
      <c r="AL155" s="68">
        <f t="shared" si="63"/>
        <v>9179.6057347670248</v>
      </c>
      <c r="AM155" s="69">
        <f t="shared" si="64"/>
        <v>540.04999999999995</v>
      </c>
      <c r="AN155" s="67">
        <v>0</v>
      </c>
      <c r="AO155" s="67">
        <v>0</v>
      </c>
    </row>
    <row r="156" spans="1:41" s="3" customFormat="1" ht="15">
      <c r="A156" s="58" t="s">
        <v>656</v>
      </c>
      <c r="B156" s="58" t="s">
        <v>253</v>
      </c>
      <c r="C156" s="58" t="str">
        <f t="shared" si="65"/>
        <v>33207 MARY WALKER SCHOOL DISTRICT</v>
      </c>
      <c r="D156" s="36">
        <v>66110.899999999994</v>
      </c>
      <c r="E156" s="36">
        <v>0</v>
      </c>
      <c r="F156" s="36">
        <v>12653.26</v>
      </c>
      <c r="G156" s="36">
        <v>822612.22</v>
      </c>
      <c r="H156" s="36">
        <v>127571.59</v>
      </c>
      <c r="I156" s="36">
        <v>150022.06</v>
      </c>
      <c r="J156" s="36">
        <v>256097.2</v>
      </c>
      <c r="K156" s="36">
        <v>0</v>
      </c>
      <c r="L156" s="36">
        <v>0</v>
      </c>
      <c r="M156" s="36">
        <v>355236.48</v>
      </c>
      <c r="N156" s="50">
        <v>1.04E-2</v>
      </c>
      <c r="O156" s="53">
        <v>0.25159999999999999</v>
      </c>
      <c r="P156" s="36">
        <v>0</v>
      </c>
      <c r="Q156" s="66">
        <v>0</v>
      </c>
      <c r="R156" s="66">
        <v>0</v>
      </c>
      <c r="S156" s="67">
        <v>0</v>
      </c>
      <c r="T156" s="67">
        <v>0</v>
      </c>
      <c r="U156" s="67">
        <v>0</v>
      </c>
      <c r="V156" s="36">
        <v>0</v>
      </c>
      <c r="W156" s="67">
        <v>0</v>
      </c>
      <c r="X156" s="67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244653.16</v>
      </c>
      <c r="AD156" s="36">
        <v>26.35</v>
      </c>
      <c r="AE156" s="36">
        <v>233187.37</v>
      </c>
      <c r="AF156" s="68">
        <f t="shared" si="59"/>
        <v>8849.6155597722955</v>
      </c>
      <c r="AG156" s="68">
        <f t="shared" si="60"/>
        <v>9284.749905123339</v>
      </c>
      <c r="AH156" s="69">
        <f t="shared" si="61"/>
        <v>435.13</v>
      </c>
      <c r="AI156" s="36">
        <v>0</v>
      </c>
      <c r="AJ156" s="36">
        <v>0</v>
      </c>
      <c r="AK156" s="68">
        <f t="shared" si="62"/>
        <v>0</v>
      </c>
      <c r="AL156" s="68">
        <f t="shared" si="63"/>
        <v>0</v>
      </c>
      <c r="AM156" s="69">
        <f t="shared" si="64"/>
        <v>0</v>
      </c>
      <c r="AN156" s="67">
        <v>0</v>
      </c>
      <c r="AO156" s="67">
        <v>14500</v>
      </c>
    </row>
    <row r="157" spans="1:41" s="3" customFormat="1" ht="15">
      <c r="A157" s="58" t="s">
        <v>627</v>
      </c>
      <c r="B157" s="58" t="s">
        <v>221</v>
      </c>
      <c r="C157" s="58" t="str">
        <f t="shared" si="65"/>
        <v>31025 MARYSVILLE SCHOOL DISTRICT</v>
      </c>
      <c r="D157" s="36">
        <v>0</v>
      </c>
      <c r="E157" s="36">
        <v>0</v>
      </c>
      <c r="F157" s="36">
        <v>124742.19</v>
      </c>
      <c r="G157" s="36">
        <v>18554267.780000001</v>
      </c>
      <c r="H157" s="36">
        <v>4371819.0199999996</v>
      </c>
      <c r="I157" s="36">
        <v>2181097.85</v>
      </c>
      <c r="J157" s="36">
        <v>4127742.72</v>
      </c>
      <c r="K157" s="36">
        <v>1895458.76</v>
      </c>
      <c r="L157" s="36">
        <v>327224.76</v>
      </c>
      <c r="M157" s="36">
        <v>8653318.4499999993</v>
      </c>
      <c r="N157" s="50">
        <v>4.1399999999999999E-2</v>
      </c>
      <c r="O157" s="53">
        <v>0.1419</v>
      </c>
      <c r="P157" s="36">
        <v>0</v>
      </c>
      <c r="Q157" s="66">
        <v>0</v>
      </c>
      <c r="R157" s="66">
        <v>0</v>
      </c>
      <c r="S157" s="67">
        <v>0</v>
      </c>
      <c r="T157" s="67">
        <v>0</v>
      </c>
      <c r="U157" s="67">
        <v>0</v>
      </c>
      <c r="V157" s="36">
        <v>0</v>
      </c>
      <c r="W157" s="67">
        <v>0</v>
      </c>
      <c r="X157" s="67">
        <v>0</v>
      </c>
      <c r="Y157" s="36">
        <v>0</v>
      </c>
      <c r="Z157" s="36">
        <v>191572.28</v>
      </c>
      <c r="AA157" s="36">
        <v>535764.36</v>
      </c>
      <c r="AB157" s="36">
        <v>2092606.3</v>
      </c>
      <c r="AC157" s="36">
        <v>6100522.9800000004</v>
      </c>
      <c r="AD157" s="36">
        <v>577.91</v>
      </c>
      <c r="AE157" s="36">
        <v>5745722.5700000003</v>
      </c>
      <c r="AF157" s="68">
        <f t="shared" si="59"/>
        <v>9942.2445882576885</v>
      </c>
      <c r="AG157" s="68">
        <f t="shared" si="60"/>
        <v>10556.181723797825</v>
      </c>
      <c r="AH157" s="69">
        <f t="shared" si="61"/>
        <v>613.94000000000005</v>
      </c>
      <c r="AI157" s="36">
        <v>202.69</v>
      </c>
      <c r="AJ157" s="36">
        <v>1970662.22</v>
      </c>
      <c r="AK157" s="68">
        <f t="shared" si="62"/>
        <v>9722.5428980216093</v>
      </c>
      <c r="AL157" s="68">
        <f t="shared" si="63"/>
        <v>10324.171394740737</v>
      </c>
      <c r="AM157" s="69">
        <f t="shared" si="64"/>
        <v>601.63</v>
      </c>
      <c r="AN157" s="67">
        <v>0</v>
      </c>
      <c r="AO157" s="67">
        <v>0</v>
      </c>
    </row>
    <row r="158" spans="1:41" s="3" customFormat="1" ht="15">
      <c r="A158" s="58" t="s">
        <v>490</v>
      </c>
      <c r="B158" s="58" t="s">
        <v>83</v>
      </c>
      <c r="C158" s="58" t="str">
        <f t="shared" si="65"/>
        <v>14065 MC CLEARY SCHOOL DISTRICT</v>
      </c>
      <c r="D158" s="36">
        <v>0</v>
      </c>
      <c r="E158" s="36">
        <v>0</v>
      </c>
      <c r="F158" s="36">
        <v>0</v>
      </c>
      <c r="G158" s="36">
        <v>589128.36</v>
      </c>
      <c r="H158" s="36">
        <v>86394.29</v>
      </c>
      <c r="I158" s="36">
        <v>92776.8</v>
      </c>
      <c r="J158" s="36">
        <v>126853.83</v>
      </c>
      <c r="K158" s="36">
        <v>6839.04</v>
      </c>
      <c r="L158" s="36">
        <v>9558.19</v>
      </c>
      <c r="M158" s="36">
        <v>180883.51</v>
      </c>
      <c r="N158" s="50">
        <v>4.6899999999999997E-2</v>
      </c>
      <c r="O158" s="53">
        <v>0.22869999999999999</v>
      </c>
      <c r="P158" s="36">
        <v>0</v>
      </c>
      <c r="Q158" s="66">
        <v>0</v>
      </c>
      <c r="R158" s="66">
        <v>0</v>
      </c>
      <c r="S158" s="67">
        <v>0</v>
      </c>
      <c r="T158" s="67">
        <v>0</v>
      </c>
      <c r="U158" s="67">
        <v>0</v>
      </c>
      <c r="V158" s="36">
        <v>0</v>
      </c>
      <c r="W158" s="67">
        <v>0</v>
      </c>
      <c r="X158" s="67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68">
        <f t="shared" si="59"/>
        <v>0</v>
      </c>
      <c r="AG158" s="68">
        <f t="shared" si="60"/>
        <v>0</v>
      </c>
      <c r="AH158" s="69">
        <f t="shared" si="61"/>
        <v>0</v>
      </c>
      <c r="AI158" s="36">
        <v>0</v>
      </c>
      <c r="AJ158" s="36">
        <v>0</v>
      </c>
      <c r="AK158" s="68">
        <f t="shared" si="62"/>
        <v>0</v>
      </c>
      <c r="AL158" s="68">
        <f t="shared" si="63"/>
        <v>0</v>
      </c>
      <c r="AM158" s="69">
        <f t="shared" si="64"/>
        <v>0</v>
      </c>
      <c r="AN158" s="67">
        <v>0</v>
      </c>
      <c r="AO158" s="67">
        <v>0</v>
      </c>
    </row>
    <row r="159" spans="1:41" s="3" customFormat="1" ht="15">
      <c r="A159" s="58" t="s">
        <v>641</v>
      </c>
      <c r="B159" s="58" t="s">
        <v>235</v>
      </c>
      <c r="C159" s="58" t="str">
        <f t="shared" si="65"/>
        <v>32354 MEAD SCHOOL DISTRICT</v>
      </c>
      <c r="D159" s="36">
        <v>0</v>
      </c>
      <c r="E159" s="36">
        <v>17233.55</v>
      </c>
      <c r="F159" s="36">
        <v>11021.21</v>
      </c>
      <c r="G159" s="36">
        <v>17730939.649999999</v>
      </c>
      <c r="H159" s="36">
        <v>4252003.63</v>
      </c>
      <c r="I159" s="36">
        <v>130611.2</v>
      </c>
      <c r="J159" s="36">
        <v>2211467.98</v>
      </c>
      <c r="K159" s="36">
        <v>658948.82999999996</v>
      </c>
      <c r="L159" s="36">
        <v>313251.88</v>
      </c>
      <c r="M159" s="36">
        <v>6254590.04</v>
      </c>
      <c r="N159" s="50">
        <v>2.7699999999999999E-2</v>
      </c>
      <c r="O159" s="53">
        <v>0.1285</v>
      </c>
      <c r="P159" s="36">
        <v>0</v>
      </c>
      <c r="Q159" s="66">
        <v>0</v>
      </c>
      <c r="R159" s="66">
        <v>0</v>
      </c>
      <c r="S159" s="67">
        <v>0</v>
      </c>
      <c r="T159" s="67">
        <v>0</v>
      </c>
      <c r="U159" s="67">
        <v>0</v>
      </c>
      <c r="V159" s="36">
        <v>0</v>
      </c>
      <c r="W159" s="67">
        <v>0</v>
      </c>
      <c r="X159" s="67">
        <v>0</v>
      </c>
      <c r="Y159" s="36">
        <v>0</v>
      </c>
      <c r="Z159" s="36">
        <v>256504.15</v>
      </c>
      <c r="AA159" s="36">
        <v>6914.93</v>
      </c>
      <c r="AB159" s="36">
        <v>3090055.27</v>
      </c>
      <c r="AC159" s="36">
        <v>3753511.3</v>
      </c>
      <c r="AD159" s="36">
        <v>378.84</v>
      </c>
      <c r="AE159" s="36">
        <v>3427886.99</v>
      </c>
      <c r="AF159" s="68">
        <f t="shared" si="59"/>
        <v>9048.3765969802571</v>
      </c>
      <c r="AG159" s="68">
        <f t="shared" si="60"/>
        <v>9907.9065040650403</v>
      </c>
      <c r="AH159" s="69">
        <f t="shared" si="61"/>
        <v>859.53</v>
      </c>
      <c r="AI159" s="36">
        <v>329.3</v>
      </c>
      <c r="AJ159" s="36">
        <v>2907795.15</v>
      </c>
      <c r="AK159" s="68">
        <f t="shared" si="62"/>
        <v>8830.2312481020344</v>
      </c>
      <c r="AL159" s="68">
        <f t="shared" si="63"/>
        <v>9383.708685089583</v>
      </c>
      <c r="AM159" s="69">
        <f t="shared" si="64"/>
        <v>553.48</v>
      </c>
      <c r="AN159" s="67">
        <v>0</v>
      </c>
      <c r="AO159" s="67">
        <v>0</v>
      </c>
    </row>
    <row r="160" spans="1:41" s="3" customFormat="1" ht="15">
      <c r="A160" s="58" t="s">
        <v>640</v>
      </c>
      <c r="B160" s="58" t="s">
        <v>234</v>
      </c>
      <c r="C160" s="58" t="str">
        <f t="shared" si="65"/>
        <v>32326 MEDICAL LAKE SCHOOL DISTRICT</v>
      </c>
      <c r="D160" s="36">
        <v>0</v>
      </c>
      <c r="E160" s="36">
        <v>0</v>
      </c>
      <c r="F160" s="36">
        <v>0</v>
      </c>
      <c r="G160" s="36">
        <v>2599697.79</v>
      </c>
      <c r="H160" s="36">
        <v>316023.61</v>
      </c>
      <c r="I160" s="36">
        <v>0</v>
      </c>
      <c r="J160" s="36">
        <v>453079.07</v>
      </c>
      <c r="K160" s="36">
        <v>23375.23</v>
      </c>
      <c r="L160" s="36">
        <v>51219.44</v>
      </c>
      <c r="M160" s="36">
        <v>1335404.6200000001</v>
      </c>
      <c r="N160" s="50">
        <v>4.6199999999999998E-2</v>
      </c>
      <c r="O160" s="53">
        <v>0.1762</v>
      </c>
      <c r="P160" s="36">
        <v>0</v>
      </c>
      <c r="Q160" s="66">
        <v>0</v>
      </c>
      <c r="R160" s="66">
        <v>0</v>
      </c>
      <c r="S160" s="67">
        <v>0</v>
      </c>
      <c r="T160" s="67">
        <v>0</v>
      </c>
      <c r="U160" s="67">
        <v>0</v>
      </c>
      <c r="V160" s="36">
        <v>219447.65</v>
      </c>
      <c r="W160" s="67">
        <v>0</v>
      </c>
      <c r="X160" s="67">
        <v>9208.5400000000009</v>
      </c>
      <c r="Y160" s="36">
        <v>0</v>
      </c>
      <c r="Z160" s="36">
        <v>0</v>
      </c>
      <c r="AA160" s="36">
        <v>0</v>
      </c>
      <c r="AB160" s="36">
        <v>0</v>
      </c>
      <c r="AC160" s="36">
        <v>1075501.99</v>
      </c>
      <c r="AD160" s="36">
        <v>116.16</v>
      </c>
      <c r="AE160" s="36">
        <v>1027805.34</v>
      </c>
      <c r="AF160" s="68">
        <f t="shared" si="59"/>
        <v>8848.1864669421484</v>
      </c>
      <c r="AG160" s="68">
        <f t="shared" si="60"/>
        <v>9258.7981232782367</v>
      </c>
      <c r="AH160" s="69">
        <f t="shared" si="61"/>
        <v>410.61</v>
      </c>
      <c r="AI160" s="36">
        <v>0</v>
      </c>
      <c r="AJ160" s="36">
        <v>0</v>
      </c>
      <c r="AK160" s="68">
        <f t="shared" si="62"/>
        <v>0</v>
      </c>
      <c r="AL160" s="68">
        <f t="shared" si="63"/>
        <v>0</v>
      </c>
      <c r="AM160" s="69">
        <f t="shared" si="64"/>
        <v>0</v>
      </c>
      <c r="AN160" s="67">
        <v>0</v>
      </c>
      <c r="AO160" s="67">
        <v>0</v>
      </c>
    </row>
    <row r="161" spans="1:41" s="3" customFormat="1" ht="15">
      <c r="A161" s="58" t="s">
        <v>511</v>
      </c>
      <c r="B161" s="58" t="s">
        <v>104</v>
      </c>
      <c r="C161" s="58" t="str">
        <f t="shared" si="65"/>
        <v>17400 MERCER ISLAND SCHOOL DISTRICT</v>
      </c>
      <c r="D161" s="36">
        <v>0</v>
      </c>
      <c r="E161" s="36">
        <v>0</v>
      </c>
      <c r="F161" s="36">
        <v>0</v>
      </c>
      <c r="G161" s="36">
        <v>5309976.25</v>
      </c>
      <c r="H161" s="36">
        <v>756495.96</v>
      </c>
      <c r="I161" s="36">
        <v>0</v>
      </c>
      <c r="J161" s="36">
        <v>156342.06</v>
      </c>
      <c r="K161" s="36">
        <v>345938.34</v>
      </c>
      <c r="L161" s="36">
        <v>135672.70000000001</v>
      </c>
      <c r="M161" s="36">
        <v>1812202.26</v>
      </c>
      <c r="N161" s="50">
        <v>2.98E-2</v>
      </c>
      <c r="O161" s="53">
        <v>0.15229999999999999</v>
      </c>
      <c r="P161" s="36">
        <v>0</v>
      </c>
      <c r="Q161" s="66">
        <v>0</v>
      </c>
      <c r="R161" s="66">
        <v>0</v>
      </c>
      <c r="S161" s="67">
        <v>0</v>
      </c>
      <c r="T161" s="67">
        <v>0</v>
      </c>
      <c r="U161" s="67">
        <v>0</v>
      </c>
      <c r="V161" s="36">
        <v>0</v>
      </c>
      <c r="W161" s="67">
        <v>0</v>
      </c>
      <c r="X161" s="67">
        <v>0</v>
      </c>
      <c r="Y161" s="36">
        <v>0</v>
      </c>
      <c r="Z161" s="36">
        <v>16546.78</v>
      </c>
      <c r="AA161" s="36">
        <v>26556.39</v>
      </c>
      <c r="AB161" s="36">
        <v>160388.12</v>
      </c>
      <c r="AC161" s="36">
        <v>3069962.08</v>
      </c>
      <c r="AD161" s="36">
        <v>293.26</v>
      </c>
      <c r="AE161" s="36">
        <v>2915604.99</v>
      </c>
      <c r="AF161" s="68">
        <f t="shared" si="59"/>
        <v>9942.0479779035686</v>
      </c>
      <c r="AG161" s="68">
        <f t="shared" si="60"/>
        <v>10468.396917411172</v>
      </c>
      <c r="AH161" s="69">
        <f t="shared" si="61"/>
        <v>526.35</v>
      </c>
      <c r="AI161" s="36">
        <v>15.52</v>
      </c>
      <c r="AJ161" s="36">
        <v>150989.60999999999</v>
      </c>
      <c r="AK161" s="68">
        <f t="shared" si="62"/>
        <v>9728.7119845360812</v>
      </c>
      <c r="AL161" s="68">
        <f t="shared" si="63"/>
        <v>10334.286082474227</v>
      </c>
      <c r="AM161" s="69">
        <f t="shared" si="64"/>
        <v>605.57000000000005</v>
      </c>
      <c r="AN161" s="67">
        <v>0</v>
      </c>
      <c r="AO161" s="67">
        <v>0</v>
      </c>
    </row>
    <row r="162" spans="1:41" s="3" customFormat="1" ht="15">
      <c r="A162" s="58" t="s">
        <v>679</v>
      </c>
      <c r="B162" s="58" t="s">
        <v>276</v>
      </c>
      <c r="C162" s="58" t="str">
        <f t="shared" si="65"/>
        <v>37505 MERIDIAN SCHOOL DISTRICT</v>
      </c>
      <c r="D162" s="36">
        <v>0</v>
      </c>
      <c r="E162" s="36">
        <v>29390.19</v>
      </c>
      <c r="F162" s="36">
        <v>0</v>
      </c>
      <c r="G162" s="36">
        <v>2678806.63</v>
      </c>
      <c r="H162" s="36">
        <v>363627.33</v>
      </c>
      <c r="I162" s="36">
        <v>0</v>
      </c>
      <c r="J162" s="36">
        <v>496730.75</v>
      </c>
      <c r="K162" s="36">
        <v>404048.99</v>
      </c>
      <c r="L162" s="36">
        <v>60011.59</v>
      </c>
      <c r="M162" s="36">
        <v>1319192.98</v>
      </c>
      <c r="N162" s="50">
        <v>5.5800000000000002E-2</v>
      </c>
      <c r="O162" s="53">
        <v>0.26550000000000001</v>
      </c>
      <c r="P162" s="36">
        <v>0</v>
      </c>
      <c r="Q162" s="66">
        <v>0</v>
      </c>
      <c r="R162" s="66">
        <v>0</v>
      </c>
      <c r="S162" s="67">
        <v>0</v>
      </c>
      <c r="T162" s="67">
        <v>0</v>
      </c>
      <c r="U162" s="67">
        <v>0</v>
      </c>
      <c r="V162" s="36">
        <v>0</v>
      </c>
      <c r="W162" s="67">
        <v>0</v>
      </c>
      <c r="X162" s="67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670859.6</v>
      </c>
      <c r="AD162" s="36">
        <v>64.28</v>
      </c>
      <c r="AE162" s="36">
        <v>615515.52</v>
      </c>
      <c r="AF162" s="68">
        <f t="shared" si="59"/>
        <v>9575.5370255133785</v>
      </c>
      <c r="AG162" s="68">
        <f t="shared" si="60"/>
        <v>10436.521468574983</v>
      </c>
      <c r="AH162" s="69">
        <f t="shared" si="61"/>
        <v>860.98</v>
      </c>
      <c r="AI162" s="36">
        <v>0</v>
      </c>
      <c r="AJ162" s="36">
        <v>0</v>
      </c>
      <c r="AK162" s="68">
        <f t="shared" si="62"/>
        <v>0</v>
      </c>
      <c r="AL162" s="68">
        <f t="shared" si="63"/>
        <v>0</v>
      </c>
      <c r="AM162" s="69">
        <f t="shared" si="64"/>
        <v>0</v>
      </c>
      <c r="AN162" s="67">
        <v>0</v>
      </c>
      <c r="AO162" s="67">
        <v>0</v>
      </c>
    </row>
    <row r="163" spans="1:41" s="3" customFormat="1" ht="15">
      <c r="A163" s="58" t="s">
        <v>581</v>
      </c>
      <c r="B163" s="58" t="s">
        <v>174</v>
      </c>
      <c r="C163" s="58" t="str">
        <f t="shared" si="65"/>
        <v>24350 METHOW VALLEY SCHOOL DISTRICT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10804.93</v>
      </c>
      <c r="J163" s="36">
        <v>173190.27</v>
      </c>
      <c r="K163" s="36">
        <v>43688.21</v>
      </c>
      <c r="L163" s="36">
        <v>22544.87</v>
      </c>
      <c r="M163" s="36">
        <v>848025.72</v>
      </c>
      <c r="N163" s="50">
        <v>2.9700000000000001E-2</v>
      </c>
      <c r="O163" s="53">
        <v>0.21049999999999999</v>
      </c>
      <c r="P163" s="36">
        <v>0</v>
      </c>
      <c r="Q163" s="66">
        <v>0</v>
      </c>
      <c r="R163" s="66">
        <v>0</v>
      </c>
      <c r="S163" s="67">
        <v>0</v>
      </c>
      <c r="T163" s="67">
        <v>0</v>
      </c>
      <c r="U163" s="67">
        <v>0</v>
      </c>
      <c r="V163" s="36">
        <v>0</v>
      </c>
      <c r="W163" s="67">
        <v>0</v>
      </c>
      <c r="X163" s="67">
        <v>0</v>
      </c>
      <c r="Y163" s="36">
        <v>0</v>
      </c>
      <c r="Z163" s="36">
        <v>0</v>
      </c>
      <c r="AA163" s="36">
        <v>0</v>
      </c>
      <c r="AB163" s="36">
        <v>88409.61</v>
      </c>
      <c r="AC163" s="36">
        <v>414214</v>
      </c>
      <c r="AD163" s="36">
        <v>44.37</v>
      </c>
      <c r="AE163" s="36">
        <v>392637.29</v>
      </c>
      <c r="AF163" s="68">
        <f t="shared" si="59"/>
        <v>8849.1613702952454</v>
      </c>
      <c r="AG163" s="68">
        <f t="shared" si="60"/>
        <v>9335.4518819021869</v>
      </c>
      <c r="AH163" s="69">
        <f t="shared" si="61"/>
        <v>486.29</v>
      </c>
      <c r="AI163" s="36">
        <v>9.65</v>
      </c>
      <c r="AJ163" s="36">
        <v>83315.53</v>
      </c>
      <c r="AK163" s="68">
        <f t="shared" si="62"/>
        <v>8633.7336787564764</v>
      </c>
      <c r="AL163" s="68">
        <f t="shared" si="63"/>
        <v>9161.6176165803099</v>
      </c>
      <c r="AM163" s="69">
        <f t="shared" si="64"/>
        <v>527.88</v>
      </c>
      <c r="AN163" s="67">
        <v>0</v>
      </c>
      <c r="AO163" s="67">
        <v>0</v>
      </c>
    </row>
    <row r="164" spans="1:41" s="3" customFormat="1" ht="15">
      <c r="A164" s="58" t="s">
        <v>620</v>
      </c>
      <c r="B164" s="58" t="s">
        <v>214</v>
      </c>
      <c r="C164" s="58" t="str">
        <f t="shared" si="65"/>
        <v>30031 MILL A SCHOOL DISTRICT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11947.74</v>
      </c>
      <c r="J164" s="36">
        <v>23168.240000000002</v>
      </c>
      <c r="K164" s="36">
        <v>0</v>
      </c>
      <c r="L164" s="36">
        <v>0</v>
      </c>
      <c r="M164" s="36">
        <v>114099.6</v>
      </c>
      <c r="N164" s="50">
        <v>6.8400000000000002E-2</v>
      </c>
      <c r="O164" s="53">
        <v>0.26869999999999999</v>
      </c>
      <c r="P164" s="36">
        <v>0</v>
      </c>
      <c r="Q164" s="66">
        <v>0</v>
      </c>
      <c r="R164" s="66">
        <v>0</v>
      </c>
      <c r="S164" s="67">
        <v>0</v>
      </c>
      <c r="T164" s="67">
        <v>0</v>
      </c>
      <c r="U164" s="67">
        <v>0</v>
      </c>
      <c r="V164" s="36">
        <v>0</v>
      </c>
      <c r="W164" s="67">
        <v>0</v>
      </c>
      <c r="X164" s="67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68">
        <f t="shared" si="59"/>
        <v>0</v>
      </c>
      <c r="AG164" s="68">
        <f t="shared" si="60"/>
        <v>0</v>
      </c>
      <c r="AH164" s="69">
        <f t="shared" si="61"/>
        <v>0</v>
      </c>
      <c r="AI164" s="36">
        <v>0</v>
      </c>
      <c r="AJ164" s="36">
        <v>0</v>
      </c>
      <c r="AK164" s="68">
        <f t="shared" si="62"/>
        <v>0</v>
      </c>
      <c r="AL164" s="68">
        <f t="shared" si="63"/>
        <v>0</v>
      </c>
      <c r="AM164" s="69">
        <f t="shared" si="64"/>
        <v>0</v>
      </c>
      <c r="AN164" s="67">
        <v>0</v>
      </c>
      <c r="AO164" s="67">
        <v>0</v>
      </c>
    </row>
    <row r="165" spans="1:41" s="3" customFormat="1" ht="15">
      <c r="A165" s="58" t="s">
        <v>629</v>
      </c>
      <c r="B165" s="58" t="s">
        <v>223</v>
      </c>
      <c r="C165" s="58" t="str">
        <f t="shared" si="65"/>
        <v>31103 MONROE SCHOOL DISTRICT</v>
      </c>
      <c r="D165" s="36">
        <v>0</v>
      </c>
      <c r="E165" s="36">
        <v>0</v>
      </c>
      <c r="F165" s="36">
        <v>0</v>
      </c>
      <c r="G165" s="36">
        <v>9838068.9199999999</v>
      </c>
      <c r="H165" s="36">
        <v>1389656.5</v>
      </c>
      <c r="I165" s="36">
        <v>223277.11</v>
      </c>
      <c r="J165" s="36">
        <v>1411524.82</v>
      </c>
      <c r="K165" s="36">
        <v>1469470.51</v>
      </c>
      <c r="L165" s="36">
        <v>188667.97</v>
      </c>
      <c r="M165" s="36">
        <v>4074938.64</v>
      </c>
      <c r="N165" s="50">
        <v>5.5800000000000002E-2</v>
      </c>
      <c r="O165" s="53">
        <v>0.1762</v>
      </c>
      <c r="P165" s="36">
        <v>0</v>
      </c>
      <c r="Q165" s="66">
        <v>0</v>
      </c>
      <c r="R165" s="66">
        <v>0</v>
      </c>
      <c r="S165" s="67">
        <v>0</v>
      </c>
      <c r="T165" s="67">
        <v>0</v>
      </c>
      <c r="U165" s="67">
        <v>0</v>
      </c>
      <c r="V165" s="36">
        <v>0</v>
      </c>
      <c r="W165" s="67">
        <v>0</v>
      </c>
      <c r="X165" s="67">
        <v>0</v>
      </c>
      <c r="Y165" s="36">
        <v>0</v>
      </c>
      <c r="Z165" s="36">
        <v>74334.850000000006</v>
      </c>
      <c r="AA165" s="36">
        <v>148941.12</v>
      </c>
      <c r="AB165" s="36">
        <v>858832.59</v>
      </c>
      <c r="AC165" s="36">
        <v>3729071.13</v>
      </c>
      <c r="AD165" s="36">
        <v>350.04</v>
      </c>
      <c r="AE165" s="36">
        <v>3479976.93</v>
      </c>
      <c r="AF165" s="68">
        <f t="shared" si="59"/>
        <v>9941.6550394240658</v>
      </c>
      <c r="AG165" s="68">
        <f t="shared" si="60"/>
        <v>10653.271426122728</v>
      </c>
      <c r="AH165" s="69">
        <f t="shared" si="61"/>
        <v>711.62</v>
      </c>
      <c r="AI165" s="36">
        <v>83.19</v>
      </c>
      <c r="AJ165" s="36">
        <v>808882.78</v>
      </c>
      <c r="AK165" s="68">
        <f t="shared" si="62"/>
        <v>9723.3174660415916</v>
      </c>
      <c r="AL165" s="68">
        <f t="shared" si="63"/>
        <v>10323.747926433465</v>
      </c>
      <c r="AM165" s="69">
        <f t="shared" si="64"/>
        <v>600.42999999999995</v>
      </c>
      <c r="AN165" s="67">
        <v>0</v>
      </c>
      <c r="AO165" s="67">
        <v>0</v>
      </c>
    </row>
    <row r="166" spans="1:41" s="3" customFormat="1" ht="15">
      <c r="A166" s="58" t="s">
        <v>491</v>
      </c>
      <c r="B166" s="58" t="s">
        <v>84</v>
      </c>
      <c r="C166" s="58" t="str">
        <f t="shared" si="65"/>
        <v>14066 MONTESANO SCHOOL DISTRICT</v>
      </c>
      <c r="D166" s="36">
        <v>0</v>
      </c>
      <c r="E166" s="36">
        <v>0</v>
      </c>
      <c r="F166" s="36">
        <v>0</v>
      </c>
      <c r="G166" s="36">
        <v>2525713.59</v>
      </c>
      <c r="H166" s="36">
        <v>486336.76</v>
      </c>
      <c r="I166" s="36">
        <v>0</v>
      </c>
      <c r="J166" s="36">
        <v>357840.71</v>
      </c>
      <c r="K166" s="36">
        <v>61887.96</v>
      </c>
      <c r="L166" s="36">
        <v>43426.75</v>
      </c>
      <c r="M166" s="36">
        <v>570786.54</v>
      </c>
      <c r="N166" s="50">
        <v>3.0800000000000001E-2</v>
      </c>
      <c r="O166" s="53">
        <v>0.1234</v>
      </c>
      <c r="P166" s="36">
        <v>0</v>
      </c>
      <c r="Q166" s="66">
        <v>0</v>
      </c>
      <c r="R166" s="66">
        <v>0</v>
      </c>
      <c r="S166" s="67">
        <v>0</v>
      </c>
      <c r="T166" s="67">
        <v>0</v>
      </c>
      <c r="U166" s="67">
        <v>0</v>
      </c>
      <c r="V166" s="36">
        <v>0</v>
      </c>
      <c r="W166" s="67">
        <v>0</v>
      </c>
      <c r="X166" s="67">
        <v>0</v>
      </c>
      <c r="Y166" s="36">
        <v>0</v>
      </c>
      <c r="Z166" s="36">
        <v>16068.53</v>
      </c>
      <c r="AA166" s="36">
        <v>18163.02</v>
      </c>
      <c r="AB166" s="36">
        <v>277523.36</v>
      </c>
      <c r="AC166" s="36">
        <v>1198388.26</v>
      </c>
      <c r="AD166" s="36">
        <v>122.65</v>
      </c>
      <c r="AE166" s="36">
        <v>1106581.51</v>
      </c>
      <c r="AF166" s="68">
        <f t="shared" si="59"/>
        <v>9022.27077048512</v>
      </c>
      <c r="AG166" s="68">
        <f t="shared" si="60"/>
        <v>9770.7970648185892</v>
      </c>
      <c r="AH166" s="69">
        <f t="shared" si="61"/>
        <v>748.53</v>
      </c>
      <c r="AI166" s="36">
        <v>29.66</v>
      </c>
      <c r="AJ166" s="36">
        <v>261256.94</v>
      </c>
      <c r="AK166" s="68">
        <f t="shared" si="62"/>
        <v>8808.393122049898</v>
      </c>
      <c r="AL166" s="68">
        <f t="shared" si="63"/>
        <v>9356.8226567768033</v>
      </c>
      <c r="AM166" s="69">
        <f t="shared" si="64"/>
        <v>548.42999999999995</v>
      </c>
      <c r="AN166" s="67">
        <v>0</v>
      </c>
      <c r="AO166" s="67">
        <v>0</v>
      </c>
    </row>
    <row r="167" spans="1:41" s="3" customFormat="1" ht="15">
      <c r="A167" s="58" t="s">
        <v>551</v>
      </c>
      <c r="B167" s="58" t="s">
        <v>144</v>
      </c>
      <c r="C167" s="58" t="str">
        <f t="shared" si="65"/>
        <v>21214 MORTON SCHOOL DISTRICT</v>
      </c>
      <c r="D167" s="36">
        <v>0</v>
      </c>
      <c r="E167" s="36">
        <v>0</v>
      </c>
      <c r="F167" s="36">
        <v>0</v>
      </c>
      <c r="G167" s="36">
        <v>634966.06000000006</v>
      </c>
      <c r="H167" s="36">
        <v>140175.35</v>
      </c>
      <c r="I167" s="36">
        <v>125918.8</v>
      </c>
      <c r="J167" s="36">
        <v>160723.07</v>
      </c>
      <c r="K167" s="36">
        <v>0</v>
      </c>
      <c r="L167" s="36">
        <v>11947.74</v>
      </c>
      <c r="M167" s="36">
        <v>423432.7</v>
      </c>
      <c r="N167" s="50">
        <v>1.32E-2</v>
      </c>
      <c r="O167" s="53">
        <v>0.21790000000000001</v>
      </c>
      <c r="P167" s="36">
        <v>0</v>
      </c>
      <c r="Q167" s="66">
        <v>0</v>
      </c>
      <c r="R167" s="66">
        <v>0</v>
      </c>
      <c r="S167" s="67">
        <v>0</v>
      </c>
      <c r="T167" s="67">
        <v>0</v>
      </c>
      <c r="U167" s="67">
        <v>0</v>
      </c>
      <c r="V167" s="36">
        <v>0</v>
      </c>
      <c r="W167" s="67">
        <v>0</v>
      </c>
      <c r="X167" s="67">
        <v>0</v>
      </c>
      <c r="Y167" s="36">
        <v>0</v>
      </c>
      <c r="Z167" s="36">
        <v>13128.54</v>
      </c>
      <c r="AA167" s="36">
        <v>0</v>
      </c>
      <c r="AB167" s="36">
        <v>337726.81</v>
      </c>
      <c r="AC167" s="36">
        <v>715787.42</v>
      </c>
      <c r="AD167" s="36">
        <v>75.8</v>
      </c>
      <c r="AE167" s="36">
        <v>670632.41</v>
      </c>
      <c r="AF167" s="68">
        <f t="shared" si="59"/>
        <v>8847.3932717678108</v>
      </c>
      <c r="AG167" s="68">
        <f t="shared" si="60"/>
        <v>9443.1058047493407</v>
      </c>
      <c r="AH167" s="69">
        <f t="shared" si="61"/>
        <v>595.71</v>
      </c>
      <c r="AI167" s="36">
        <v>36.840000000000003</v>
      </c>
      <c r="AJ167" s="36">
        <v>317990.87</v>
      </c>
      <c r="AK167" s="68">
        <f t="shared" si="62"/>
        <v>8631.6739956568945</v>
      </c>
      <c r="AL167" s="68">
        <f t="shared" si="63"/>
        <v>9167.3944082518992</v>
      </c>
      <c r="AM167" s="69">
        <f t="shared" si="64"/>
        <v>535.72</v>
      </c>
      <c r="AN167" s="67">
        <v>0</v>
      </c>
      <c r="AO167" s="67">
        <v>0</v>
      </c>
    </row>
    <row r="168" spans="1:41" s="3" customFormat="1" ht="15">
      <c r="A168" s="58" t="s">
        <v>483</v>
      </c>
      <c r="B168" s="58" t="s">
        <v>76</v>
      </c>
      <c r="C168" s="58" t="str">
        <f t="shared" si="65"/>
        <v>13161 MOSES LAKE SCHOOL DISTRICT</v>
      </c>
      <c r="D168" s="36">
        <v>0</v>
      </c>
      <c r="E168" s="36">
        <v>286463.14</v>
      </c>
      <c r="F168" s="36">
        <v>226901</v>
      </c>
      <c r="G168" s="36">
        <v>15060124.02</v>
      </c>
      <c r="H168" s="36">
        <v>2794032.14</v>
      </c>
      <c r="I168" s="36">
        <v>2316127.7799999998</v>
      </c>
      <c r="J168" s="36">
        <v>3718792.29</v>
      </c>
      <c r="K168" s="36">
        <v>2051613.92</v>
      </c>
      <c r="L168" s="36">
        <v>260388.09</v>
      </c>
      <c r="M168" s="36">
        <v>5439703.5800000001</v>
      </c>
      <c r="N168" s="50">
        <v>4.5400000000000003E-2</v>
      </c>
      <c r="O168" s="53">
        <v>0.1615</v>
      </c>
      <c r="P168" s="36">
        <v>0</v>
      </c>
      <c r="Q168" s="66">
        <v>0</v>
      </c>
      <c r="R168" s="66">
        <v>0</v>
      </c>
      <c r="S168" s="67">
        <v>0</v>
      </c>
      <c r="T168" s="67">
        <v>0</v>
      </c>
      <c r="U168" s="67">
        <v>0</v>
      </c>
      <c r="V168" s="36">
        <v>0</v>
      </c>
      <c r="W168" s="67">
        <v>0</v>
      </c>
      <c r="X168" s="67">
        <v>0</v>
      </c>
      <c r="Y168" s="36">
        <v>0</v>
      </c>
      <c r="Z168" s="36">
        <v>0</v>
      </c>
      <c r="AA168" s="36">
        <v>0</v>
      </c>
      <c r="AB168" s="36">
        <v>460626.5</v>
      </c>
      <c r="AC168" s="36">
        <v>4686879.04</v>
      </c>
      <c r="AD168" s="36">
        <v>486.53</v>
      </c>
      <c r="AE168" s="36">
        <v>4348989.37</v>
      </c>
      <c r="AF168" s="68">
        <f t="shared" si="59"/>
        <v>8938.7897354736615</v>
      </c>
      <c r="AG168" s="68">
        <f t="shared" si="60"/>
        <v>9633.2786056358291</v>
      </c>
      <c r="AH168" s="69">
        <f t="shared" si="61"/>
        <v>694.49</v>
      </c>
      <c r="AI168" s="36">
        <v>49.72</v>
      </c>
      <c r="AJ168" s="36">
        <v>433663.08</v>
      </c>
      <c r="AK168" s="68">
        <f t="shared" si="62"/>
        <v>8722.1053901850373</v>
      </c>
      <c r="AL168" s="68">
        <f t="shared" si="63"/>
        <v>9264.4106999195501</v>
      </c>
      <c r="AM168" s="69">
        <f t="shared" si="64"/>
        <v>542.30999999999995</v>
      </c>
      <c r="AN168" s="67">
        <v>1700</v>
      </c>
      <c r="AO168" s="67">
        <v>0</v>
      </c>
    </row>
    <row r="169" spans="1:41" s="3" customFormat="1" ht="15">
      <c r="A169" s="58" t="s">
        <v>550</v>
      </c>
      <c r="B169" s="58" t="s">
        <v>143</v>
      </c>
      <c r="C169" s="58" t="str">
        <f t="shared" si="65"/>
        <v>21206 MOSSYROCK SCHOOL DISTRICT</v>
      </c>
      <c r="D169" s="36">
        <v>0</v>
      </c>
      <c r="E169" s="36">
        <v>17477.849999999999</v>
      </c>
      <c r="F169" s="36">
        <v>15522.49</v>
      </c>
      <c r="G169" s="36">
        <v>966284.43</v>
      </c>
      <c r="H169" s="36">
        <v>294294.57</v>
      </c>
      <c r="I169" s="36">
        <v>182021.23</v>
      </c>
      <c r="J169" s="36">
        <v>237292.52</v>
      </c>
      <c r="K169" s="36">
        <v>96359.05</v>
      </c>
      <c r="L169" s="36">
        <v>18493.009999999998</v>
      </c>
      <c r="M169" s="36">
        <v>512857.51</v>
      </c>
      <c r="N169" s="50">
        <v>6.6299999999999998E-2</v>
      </c>
      <c r="O169" s="53">
        <v>0.1779</v>
      </c>
      <c r="P169" s="36">
        <v>0</v>
      </c>
      <c r="Q169" s="66">
        <v>0</v>
      </c>
      <c r="R169" s="66">
        <v>0</v>
      </c>
      <c r="S169" s="67">
        <v>0</v>
      </c>
      <c r="T169" s="67">
        <v>0</v>
      </c>
      <c r="U169" s="67">
        <v>0</v>
      </c>
      <c r="V169" s="36">
        <v>0</v>
      </c>
      <c r="W169" s="67">
        <v>0</v>
      </c>
      <c r="X169" s="67">
        <v>0</v>
      </c>
      <c r="Y169" s="36">
        <v>0</v>
      </c>
      <c r="Z169" s="36">
        <v>14624.2</v>
      </c>
      <c r="AA169" s="36">
        <v>40932.080000000002</v>
      </c>
      <c r="AB169" s="36">
        <v>141955.54999999999</v>
      </c>
      <c r="AC169" s="36">
        <v>421317.66</v>
      </c>
      <c r="AD169" s="36">
        <v>44.71</v>
      </c>
      <c r="AE169" s="36">
        <v>395542.27</v>
      </c>
      <c r="AF169" s="68">
        <f t="shared" si="59"/>
        <v>8846.8411988369498</v>
      </c>
      <c r="AG169" s="68">
        <f t="shared" si="60"/>
        <v>9423.3428763140237</v>
      </c>
      <c r="AH169" s="69">
        <f t="shared" si="61"/>
        <v>576.5</v>
      </c>
      <c r="AI169" s="36">
        <v>15.47</v>
      </c>
      <c r="AJ169" s="36">
        <v>133603.97</v>
      </c>
      <c r="AK169" s="68">
        <f t="shared" si="62"/>
        <v>8636.3264382676152</v>
      </c>
      <c r="AL169" s="68">
        <f t="shared" si="63"/>
        <v>9176.1829347123457</v>
      </c>
      <c r="AM169" s="69">
        <f t="shared" si="64"/>
        <v>539.86</v>
      </c>
      <c r="AN169" s="67">
        <v>0</v>
      </c>
      <c r="AO169" s="67">
        <v>0</v>
      </c>
    </row>
    <row r="170" spans="1:41" s="3" customFormat="1" ht="15">
      <c r="A170" s="58" t="s">
        <v>707</v>
      </c>
      <c r="B170" s="58" t="s">
        <v>306</v>
      </c>
      <c r="C170" s="58" t="str">
        <f t="shared" si="65"/>
        <v>39209 MOUNT ADAMS SCHOOL DISTRICT</v>
      </c>
      <c r="D170" s="36">
        <v>0</v>
      </c>
      <c r="E170" s="36">
        <v>0</v>
      </c>
      <c r="F170" s="36">
        <v>0</v>
      </c>
      <c r="G170" s="36">
        <v>1307716.82</v>
      </c>
      <c r="H170" s="36">
        <v>187366.23</v>
      </c>
      <c r="I170" s="36">
        <v>269603.34999999998</v>
      </c>
      <c r="J170" s="36">
        <v>585335.36</v>
      </c>
      <c r="K170" s="36">
        <v>202109</v>
      </c>
      <c r="L170" s="36">
        <v>25973.360000000001</v>
      </c>
      <c r="M170" s="36">
        <v>1010288.29</v>
      </c>
      <c r="N170" s="50">
        <v>5.8099999999999999E-2</v>
      </c>
      <c r="O170" s="53">
        <v>0.23930000000000001</v>
      </c>
      <c r="P170" s="36">
        <v>0</v>
      </c>
      <c r="Q170" s="66">
        <v>0</v>
      </c>
      <c r="R170" s="66">
        <v>0</v>
      </c>
      <c r="S170" s="67">
        <v>0</v>
      </c>
      <c r="T170" s="67">
        <v>0</v>
      </c>
      <c r="U170" s="67">
        <v>0</v>
      </c>
      <c r="V170" s="36">
        <v>0</v>
      </c>
      <c r="W170" s="67">
        <v>0</v>
      </c>
      <c r="X170" s="67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615320.06999999995</v>
      </c>
      <c r="AD170" s="36">
        <v>67.11</v>
      </c>
      <c r="AE170" s="36">
        <v>593765.93999999994</v>
      </c>
      <c r="AF170" s="68">
        <f t="shared" si="59"/>
        <v>8847.6522127849785</v>
      </c>
      <c r="AG170" s="68">
        <f t="shared" si="60"/>
        <v>9168.8283415288333</v>
      </c>
      <c r="AH170" s="69">
        <f t="shared" si="61"/>
        <v>321.18</v>
      </c>
      <c r="AI170" s="36">
        <v>0</v>
      </c>
      <c r="AJ170" s="36">
        <v>0</v>
      </c>
      <c r="AK170" s="68">
        <f t="shared" si="62"/>
        <v>0</v>
      </c>
      <c r="AL170" s="68">
        <f t="shared" si="63"/>
        <v>0</v>
      </c>
      <c r="AM170" s="69">
        <f t="shared" si="64"/>
        <v>0</v>
      </c>
      <c r="AN170" s="67">
        <v>0</v>
      </c>
      <c r="AO170" s="67">
        <v>0</v>
      </c>
    </row>
    <row r="171" spans="1:41" s="3" customFormat="1" ht="15">
      <c r="A171" s="58" t="s">
        <v>681</v>
      </c>
      <c r="B171" s="58" t="s">
        <v>278</v>
      </c>
      <c r="C171" s="58" t="str">
        <f t="shared" si="65"/>
        <v>37507 MOUNT BAKER SCHOOL DISTRICT</v>
      </c>
      <c r="D171" s="36">
        <v>0</v>
      </c>
      <c r="E171" s="36">
        <v>38972.99</v>
      </c>
      <c r="F171" s="36">
        <v>0</v>
      </c>
      <c r="G171" s="36">
        <v>3055899.16</v>
      </c>
      <c r="H171" s="36">
        <v>506757.85</v>
      </c>
      <c r="I171" s="36">
        <v>273806.28999999998</v>
      </c>
      <c r="J171" s="36">
        <v>621329.65</v>
      </c>
      <c r="K171" s="36">
        <v>161364.78</v>
      </c>
      <c r="L171" s="36">
        <v>50414.42</v>
      </c>
      <c r="M171" s="36">
        <v>2120645.5</v>
      </c>
      <c r="N171" s="50">
        <v>2.3699999999999999E-2</v>
      </c>
      <c r="O171" s="53">
        <v>0.1431</v>
      </c>
      <c r="P171" s="36">
        <v>0</v>
      </c>
      <c r="Q171" s="66">
        <v>0</v>
      </c>
      <c r="R171" s="66">
        <v>0</v>
      </c>
      <c r="S171" s="67">
        <v>0</v>
      </c>
      <c r="T171" s="67">
        <v>0</v>
      </c>
      <c r="U171" s="67">
        <v>0</v>
      </c>
      <c r="V171" s="36">
        <v>0</v>
      </c>
      <c r="W171" s="67">
        <v>0</v>
      </c>
      <c r="X171" s="67">
        <v>0</v>
      </c>
      <c r="Y171" s="36">
        <v>0</v>
      </c>
      <c r="Z171" s="36">
        <v>7270.2</v>
      </c>
      <c r="AA171" s="36">
        <v>0</v>
      </c>
      <c r="AB171" s="36">
        <v>122376.03</v>
      </c>
      <c r="AC171" s="36">
        <v>820680.81</v>
      </c>
      <c r="AD171" s="36">
        <v>80.94</v>
      </c>
      <c r="AE171" s="36">
        <v>760504.31999999995</v>
      </c>
      <c r="AF171" s="68">
        <f t="shared" si="59"/>
        <v>9395.9021497405483</v>
      </c>
      <c r="AG171" s="68">
        <f t="shared" si="60"/>
        <v>10139.372498146777</v>
      </c>
      <c r="AH171" s="69">
        <f t="shared" si="61"/>
        <v>743.47</v>
      </c>
      <c r="AI171" s="36">
        <v>12.56</v>
      </c>
      <c r="AJ171" s="36">
        <v>115083.14</v>
      </c>
      <c r="AK171" s="68">
        <f t="shared" si="62"/>
        <v>9162.6703821656047</v>
      </c>
      <c r="AL171" s="68">
        <f t="shared" si="63"/>
        <v>9743.3144904458586</v>
      </c>
      <c r="AM171" s="69">
        <f t="shared" si="64"/>
        <v>580.64</v>
      </c>
      <c r="AN171" s="67">
        <v>0</v>
      </c>
      <c r="AO171" s="67">
        <v>0</v>
      </c>
    </row>
    <row r="172" spans="1:41" s="3" customFormat="1" ht="15">
      <c r="A172" s="58" t="s">
        <v>619</v>
      </c>
      <c r="B172" s="58" t="s">
        <v>213</v>
      </c>
      <c r="C172" s="58" t="str">
        <f t="shared" si="65"/>
        <v>30029 MOUNT PLEASANT SCHOOL DISTRICT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15523.33</v>
      </c>
      <c r="K172" s="36">
        <v>0</v>
      </c>
      <c r="L172" s="36">
        <v>2077.0700000000002</v>
      </c>
      <c r="M172" s="36">
        <v>78091.179999999993</v>
      </c>
      <c r="N172" s="50">
        <v>2.5100000000000001E-2</v>
      </c>
      <c r="O172" s="53">
        <v>0.36559999999999998</v>
      </c>
      <c r="P172" s="36">
        <v>0</v>
      </c>
      <c r="Q172" s="66">
        <v>0</v>
      </c>
      <c r="R172" s="66">
        <v>0</v>
      </c>
      <c r="S172" s="67">
        <v>0</v>
      </c>
      <c r="T172" s="67">
        <v>0</v>
      </c>
      <c r="U172" s="67">
        <v>0</v>
      </c>
      <c r="V172" s="36">
        <v>0</v>
      </c>
      <c r="W172" s="67">
        <v>0</v>
      </c>
      <c r="X172" s="67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68">
        <f t="shared" si="59"/>
        <v>0</v>
      </c>
      <c r="AG172" s="68">
        <f t="shared" si="60"/>
        <v>0</v>
      </c>
      <c r="AH172" s="69">
        <f t="shared" si="61"/>
        <v>0</v>
      </c>
      <c r="AI172" s="36">
        <v>0</v>
      </c>
      <c r="AJ172" s="36">
        <v>0</v>
      </c>
      <c r="AK172" s="68">
        <f t="shared" si="62"/>
        <v>0</v>
      </c>
      <c r="AL172" s="68">
        <f t="shared" si="63"/>
        <v>0</v>
      </c>
      <c r="AM172" s="69">
        <f t="shared" si="64"/>
        <v>0</v>
      </c>
      <c r="AN172" s="67">
        <v>0</v>
      </c>
      <c r="AO172" s="67">
        <v>0</v>
      </c>
    </row>
    <row r="173" spans="1:41" s="3" customFormat="1" ht="15">
      <c r="A173" s="58" t="s">
        <v>617</v>
      </c>
      <c r="B173" s="58" t="s">
        <v>211</v>
      </c>
      <c r="C173" s="58" t="str">
        <f t="shared" si="65"/>
        <v>29320 MT VERNON SCHOOL DISTRICT</v>
      </c>
      <c r="D173" s="36">
        <v>0</v>
      </c>
      <c r="E173" s="36">
        <v>301263.03999999998</v>
      </c>
      <c r="F173" s="36">
        <v>71212.34</v>
      </c>
      <c r="G173" s="36">
        <v>12225049.539999999</v>
      </c>
      <c r="H173" s="36">
        <v>2527136.81</v>
      </c>
      <c r="I173" s="36">
        <v>2043033.25</v>
      </c>
      <c r="J173" s="36">
        <v>3180270.12</v>
      </c>
      <c r="K173" s="36">
        <v>3132281.52</v>
      </c>
      <c r="L173" s="36">
        <v>215261.46</v>
      </c>
      <c r="M173" s="36">
        <v>4477343.08</v>
      </c>
      <c r="N173" s="50">
        <v>1.1999999999999999E-3</v>
      </c>
      <c r="O173" s="53">
        <v>0.10639999999999999</v>
      </c>
      <c r="P173" s="36">
        <v>0</v>
      </c>
      <c r="Q173" s="66">
        <v>0</v>
      </c>
      <c r="R173" s="66">
        <v>0</v>
      </c>
      <c r="S173" s="67">
        <v>0</v>
      </c>
      <c r="T173" s="67">
        <v>0</v>
      </c>
      <c r="U173" s="67">
        <v>0</v>
      </c>
      <c r="V173" s="36">
        <v>0</v>
      </c>
      <c r="W173" s="67">
        <v>0</v>
      </c>
      <c r="X173" s="67">
        <v>0</v>
      </c>
      <c r="Y173" s="36">
        <v>0</v>
      </c>
      <c r="Z173" s="36">
        <v>0</v>
      </c>
      <c r="AA173" s="36">
        <v>113537.60000000001</v>
      </c>
      <c r="AB173" s="36">
        <v>0</v>
      </c>
      <c r="AC173" s="36">
        <v>4518720.28</v>
      </c>
      <c r="AD173" s="36">
        <v>445.37</v>
      </c>
      <c r="AE173" s="36">
        <v>4265420.96</v>
      </c>
      <c r="AF173" s="68">
        <f t="shared" si="59"/>
        <v>9577.2525316029369</v>
      </c>
      <c r="AG173" s="68">
        <f t="shared" si="60"/>
        <v>10145.99160248782</v>
      </c>
      <c r="AH173" s="69">
        <f t="shared" si="61"/>
        <v>568.74</v>
      </c>
      <c r="AI173" s="36">
        <v>0</v>
      </c>
      <c r="AJ173" s="36">
        <v>0</v>
      </c>
      <c r="AK173" s="68">
        <f t="shared" si="62"/>
        <v>0</v>
      </c>
      <c r="AL173" s="68">
        <f t="shared" si="63"/>
        <v>0</v>
      </c>
      <c r="AM173" s="69">
        <f t="shared" si="64"/>
        <v>0</v>
      </c>
      <c r="AN173" s="67">
        <v>0</v>
      </c>
      <c r="AO173" s="67">
        <v>0</v>
      </c>
    </row>
    <row r="174" spans="1:41" s="3" customFormat="1" ht="15">
      <c r="A174" s="58" t="s">
        <v>799</v>
      </c>
      <c r="B174" s="58" t="s">
        <v>411</v>
      </c>
      <c r="C174" s="61" t="str">
        <f>CONCATENATE(B174," ",A174," TRIBAL COMPACT")</f>
        <v>17903 MUCKLESHOOT TRIBAL COMPACT</v>
      </c>
      <c r="D174" s="36">
        <v>78369.72</v>
      </c>
      <c r="E174" s="36">
        <v>25673.279999999999</v>
      </c>
      <c r="F174" s="36">
        <v>0</v>
      </c>
      <c r="G174" s="36">
        <v>961247.99</v>
      </c>
      <c r="H174" s="36">
        <v>203888.79</v>
      </c>
      <c r="I174" s="36">
        <v>189811.8</v>
      </c>
      <c r="J174" s="36">
        <v>282251.09999999998</v>
      </c>
      <c r="K174" s="36">
        <v>0</v>
      </c>
      <c r="L174" s="36">
        <v>0</v>
      </c>
      <c r="M174" s="36">
        <v>540679.35</v>
      </c>
      <c r="N174" s="50">
        <v>0</v>
      </c>
      <c r="O174" s="53">
        <v>3.2800000000000003E-2</v>
      </c>
      <c r="P174" s="36">
        <v>0</v>
      </c>
      <c r="Q174" s="66">
        <v>0</v>
      </c>
      <c r="R174" s="66">
        <v>0</v>
      </c>
      <c r="S174" s="67">
        <v>0</v>
      </c>
      <c r="T174" s="67">
        <v>0</v>
      </c>
      <c r="U174" s="67">
        <v>0</v>
      </c>
      <c r="V174" s="36">
        <v>0</v>
      </c>
      <c r="W174" s="67">
        <v>0</v>
      </c>
      <c r="X174" s="67">
        <v>0</v>
      </c>
      <c r="Y174" s="36">
        <v>0</v>
      </c>
      <c r="Z174" s="36">
        <v>0</v>
      </c>
      <c r="AA174" s="36">
        <v>0</v>
      </c>
      <c r="AB174" s="36">
        <v>30853.77</v>
      </c>
      <c r="AC174" s="36">
        <v>294507.19</v>
      </c>
      <c r="AD174" s="36">
        <v>28.92</v>
      </c>
      <c r="AE174" s="36">
        <v>282435.40999999997</v>
      </c>
      <c r="AF174" s="68">
        <f t="shared" si="59"/>
        <v>9766.0930152143828</v>
      </c>
      <c r="AG174" s="68">
        <f t="shared" si="60"/>
        <v>10183.512793914246</v>
      </c>
      <c r="AH174" s="69">
        <f t="shared" si="61"/>
        <v>417.42</v>
      </c>
      <c r="AI174" s="36">
        <v>3.04</v>
      </c>
      <c r="AJ174" s="36">
        <v>29087.93</v>
      </c>
      <c r="AK174" s="68">
        <f t="shared" si="62"/>
        <v>9568.39802631579</v>
      </c>
      <c r="AL174" s="68">
        <f t="shared" si="63"/>
        <v>10149.266447368422</v>
      </c>
      <c r="AM174" s="69">
        <f t="shared" si="64"/>
        <v>580.87</v>
      </c>
      <c r="AN174" s="67">
        <v>0</v>
      </c>
      <c r="AO174" s="67">
        <v>0</v>
      </c>
    </row>
    <row r="175" spans="1:41" s="3" customFormat="1" ht="15">
      <c r="A175" s="58" t="s">
        <v>624</v>
      </c>
      <c r="B175" s="58" t="s">
        <v>218</v>
      </c>
      <c r="C175" s="58" t="str">
        <f t="shared" ref="C175:C216" si="66">CONCATENATE(B175," ",A175," SCHOOL DISTRICT")</f>
        <v>31006 MUKILTEO SCHOOL DISTRICT</v>
      </c>
      <c r="D175" s="36">
        <v>0</v>
      </c>
      <c r="E175" s="36">
        <v>572806.13</v>
      </c>
      <c r="F175" s="36">
        <v>0</v>
      </c>
      <c r="G175" s="36">
        <v>27457116.050000001</v>
      </c>
      <c r="H175" s="36">
        <v>5303306.9000000004</v>
      </c>
      <c r="I175" s="36">
        <v>2927838.48</v>
      </c>
      <c r="J175" s="36">
        <v>5803763.2000000002</v>
      </c>
      <c r="K175" s="36">
        <v>7346289.9699999997</v>
      </c>
      <c r="L175" s="36">
        <v>527429.12</v>
      </c>
      <c r="M175" s="36">
        <v>11296126.65</v>
      </c>
      <c r="N175" s="50">
        <v>4.4499999999999998E-2</v>
      </c>
      <c r="O175" s="53">
        <v>0.12859999999999999</v>
      </c>
      <c r="P175" s="36">
        <v>0</v>
      </c>
      <c r="Q175" s="66">
        <v>0</v>
      </c>
      <c r="R175" s="66">
        <v>0</v>
      </c>
      <c r="S175" s="67">
        <v>0</v>
      </c>
      <c r="T175" s="67">
        <v>0</v>
      </c>
      <c r="U175" s="67">
        <v>0</v>
      </c>
      <c r="V175" s="36">
        <v>0</v>
      </c>
      <c r="W175" s="67">
        <v>0</v>
      </c>
      <c r="X175" s="67">
        <v>0</v>
      </c>
      <c r="Y175" s="36">
        <v>0</v>
      </c>
      <c r="Z175" s="36">
        <v>115916.75</v>
      </c>
      <c r="AA175" s="36">
        <v>357802</v>
      </c>
      <c r="AB175" s="36">
        <v>1793022.92</v>
      </c>
      <c r="AC175" s="36">
        <v>5862208.79</v>
      </c>
      <c r="AD175" s="36">
        <v>530.44000000000005</v>
      </c>
      <c r="AE175" s="36">
        <v>5273802.6399999997</v>
      </c>
      <c r="AF175" s="68">
        <f t="shared" si="59"/>
        <v>9942.3170198325897</v>
      </c>
      <c r="AG175" s="68">
        <f t="shared" si="60"/>
        <v>11051.596391674835</v>
      </c>
      <c r="AH175" s="69">
        <f t="shared" si="61"/>
        <v>1109.28</v>
      </c>
      <c r="AI175" s="36">
        <v>173.66</v>
      </c>
      <c r="AJ175" s="36">
        <v>1688323.83</v>
      </c>
      <c r="AK175" s="68">
        <f t="shared" si="62"/>
        <v>9722.0075434757582</v>
      </c>
      <c r="AL175" s="68">
        <f t="shared" si="63"/>
        <v>10324.904526085455</v>
      </c>
      <c r="AM175" s="69">
        <f t="shared" si="64"/>
        <v>602.9</v>
      </c>
      <c r="AN175" s="67">
        <v>6600</v>
      </c>
      <c r="AO175" s="67">
        <v>0</v>
      </c>
    </row>
    <row r="176" spans="1:41" s="3" customFormat="1" ht="15">
      <c r="A176" s="58" t="s">
        <v>696</v>
      </c>
      <c r="B176" s="58" t="s">
        <v>293</v>
      </c>
      <c r="C176" s="58" t="str">
        <f t="shared" si="66"/>
        <v>39003 NACHES VALLEY SCHOOL DISTRICT</v>
      </c>
      <c r="D176" s="36">
        <v>0</v>
      </c>
      <c r="E176" s="36">
        <v>42776.22</v>
      </c>
      <c r="F176" s="36">
        <v>25862.29</v>
      </c>
      <c r="G176" s="36">
        <v>2170141.9500000002</v>
      </c>
      <c r="H176" s="36">
        <v>236619.06</v>
      </c>
      <c r="I176" s="36">
        <v>392301.44</v>
      </c>
      <c r="J176" s="36">
        <v>465961.86</v>
      </c>
      <c r="K176" s="36">
        <v>112282.78</v>
      </c>
      <c r="L176" s="36">
        <v>38232.76</v>
      </c>
      <c r="M176" s="36">
        <v>1091459.56</v>
      </c>
      <c r="N176" s="50">
        <v>5.6599999999999998E-2</v>
      </c>
      <c r="O176" s="53">
        <v>0.27160000000000001</v>
      </c>
      <c r="P176" s="36">
        <v>0</v>
      </c>
      <c r="Q176" s="66">
        <v>0</v>
      </c>
      <c r="R176" s="66">
        <v>0</v>
      </c>
      <c r="S176" s="67">
        <v>0</v>
      </c>
      <c r="T176" s="67">
        <v>0</v>
      </c>
      <c r="U176" s="67">
        <v>0</v>
      </c>
      <c r="V176" s="36">
        <v>0</v>
      </c>
      <c r="W176" s="67">
        <v>0</v>
      </c>
      <c r="X176" s="67">
        <v>0</v>
      </c>
      <c r="Y176" s="36">
        <v>0</v>
      </c>
      <c r="Z176" s="36">
        <v>0</v>
      </c>
      <c r="AA176" s="36">
        <v>33532.46</v>
      </c>
      <c r="AB176" s="36">
        <v>633678.06999999995</v>
      </c>
      <c r="AC176" s="36">
        <v>917504.86</v>
      </c>
      <c r="AD176" s="36">
        <v>98.73</v>
      </c>
      <c r="AE176" s="36">
        <v>873424.87</v>
      </c>
      <c r="AF176" s="68">
        <f t="shared" si="59"/>
        <v>8846.6005266889497</v>
      </c>
      <c r="AG176" s="68">
        <f t="shared" si="60"/>
        <v>9293.070596576521</v>
      </c>
      <c r="AH176" s="69">
        <f t="shared" si="61"/>
        <v>446.47</v>
      </c>
      <c r="AI176" s="36">
        <v>69.12</v>
      </c>
      <c r="AJ176" s="36">
        <v>596363.38</v>
      </c>
      <c r="AK176" s="68">
        <f t="shared" si="62"/>
        <v>8627.9424189814818</v>
      </c>
      <c r="AL176" s="68">
        <f t="shared" si="63"/>
        <v>9167.7961516203686</v>
      </c>
      <c r="AM176" s="69">
        <f t="shared" si="64"/>
        <v>539.85</v>
      </c>
      <c r="AN176" s="67">
        <v>120000</v>
      </c>
      <c r="AO176" s="67">
        <v>0</v>
      </c>
    </row>
    <row r="177" spans="1:41" s="3" customFormat="1" ht="15">
      <c r="A177" s="58" t="s">
        <v>548</v>
      </c>
      <c r="B177" s="58" t="s">
        <v>141</v>
      </c>
      <c r="C177" s="58" t="str">
        <f t="shared" si="66"/>
        <v>21014 NAPAVINE SCHOOL DISTRICT</v>
      </c>
      <c r="D177" s="36">
        <v>0</v>
      </c>
      <c r="E177" s="36">
        <v>0</v>
      </c>
      <c r="F177" s="36">
        <v>0</v>
      </c>
      <c r="G177" s="36">
        <v>1046138.95</v>
      </c>
      <c r="H177" s="36">
        <v>120454.25</v>
      </c>
      <c r="I177" s="36">
        <v>0</v>
      </c>
      <c r="J177" s="36">
        <v>243422.22</v>
      </c>
      <c r="K177" s="36">
        <v>43484.05</v>
      </c>
      <c r="L177" s="36">
        <v>24103.27</v>
      </c>
      <c r="M177" s="36">
        <v>420265.78</v>
      </c>
      <c r="N177" s="50">
        <v>4.6899999999999997E-2</v>
      </c>
      <c r="O177" s="53">
        <v>0.1958</v>
      </c>
      <c r="P177" s="36">
        <v>0</v>
      </c>
      <c r="Q177" s="66">
        <v>0</v>
      </c>
      <c r="R177" s="66">
        <v>0</v>
      </c>
      <c r="S177" s="67">
        <v>0</v>
      </c>
      <c r="T177" s="67">
        <v>0</v>
      </c>
      <c r="U177" s="67">
        <v>0</v>
      </c>
      <c r="V177" s="36">
        <v>0</v>
      </c>
      <c r="W177" s="67">
        <v>0</v>
      </c>
      <c r="X177" s="67">
        <v>0</v>
      </c>
      <c r="Y177" s="36">
        <v>0</v>
      </c>
      <c r="Z177" s="36">
        <v>22613.48</v>
      </c>
      <c r="AA177" s="36">
        <v>70593.69</v>
      </c>
      <c r="AB177" s="36">
        <v>367217.21</v>
      </c>
      <c r="AC177" s="36">
        <v>1152115.5</v>
      </c>
      <c r="AD177" s="36">
        <v>122.69</v>
      </c>
      <c r="AE177" s="36">
        <v>1085596.44</v>
      </c>
      <c r="AF177" s="68">
        <f t="shared" si="59"/>
        <v>8848.2878800228209</v>
      </c>
      <c r="AG177" s="68">
        <f t="shared" si="60"/>
        <v>9390.4596951666808</v>
      </c>
      <c r="AH177" s="69">
        <f t="shared" si="61"/>
        <v>542.16999999999996</v>
      </c>
      <c r="AI177" s="36">
        <v>40.049999999999997</v>
      </c>
      <c r="AJ177" s="36">
        <v>345667.63</v>
      </c>
      <c r="AK177" s="68">
        <f t="shared" si="62"/>
        <v>8630.9021223470663</v>
      </c>
      <c r="AL177" s="68">
        <f t="shared" si="63"/>
        <v>9168.9690387016235</v>
      </c>
      <c r="AM177" s="69">
        <f t="shared" si="64"/>
        <v>538.07000000000005</v>
      </c>
      <c r="AN177" s="67">
        <v>0</v>
      </c>
      <c r="AO177" s="67">
        <v>0</v>
      </c>
    </row>
    <row r="178" spans="1:41" s="3" customFormat="1" ht="15">
      <c r="A178" s="58" t="s">
        <v>781</v>
      </c>
      <c r="B178" s="58" t="s">
        <v>180</v>
      </c>
      <c r="C178" s="58" t="str">
        <f t="shared" si="66"/>
        <v>25155 NASELLE GRAYS RIVER SCHOOL DISTRICT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95968.94</v>
      </c>
      <c r="J178" s="36">
        <v>110871.61</v>
      </c>
      <c r="K178" s="36">
        <v>16407.22</v>
      </c>
      <c r="L178" s="36">
        <v>9512.34</v>
      </c>
      <c r="M178" s="36">
        <v>307282.8</v>
      </c>
      <c r="N178" s="50">
        <v>4.8999999999999998E-3</v>
      </c>
      <c r="O178" s="53">
        <v>0.13009999999999999</v>
      </c>
      <c r="P178" s="36">
        <v>0</v>
      </c>
      <c r="Q178" s="66">
        <v>0</v>
      </c>
      <c r="R178" s="66">
        <v>0</v>
      </c>
      <c r="S178" s="67">
        <v>0</v>
      </c>
      <c r="T178" s="67">
        <v>0</v>
      </c>
      <c r="U178" s="67">
        <v>0</v>
      </c>
      <c r="V178" s="36">
        <v>0</v>
      </c>
      <c r="W178" s="67">
        <v>0</v>
      </c>
      <c r="X178" s="67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122186.21</v>
      </c>
      <c r="AD178" s="36">
        <v>12.04</v>
      </c>
      <c r="AE178" s="36">
        <v>107522.71</v>
      </c>
      <c r="AF178" s="68">
        <f t="shared" si="59"/>
        <v>8930.4576411960152</v>
      </c>
      <c r="AG178" s="68">
        <f t="shared" si="60"/>
        <v>10148.356312292361</v>
      </c>
      <c r="AH178" s="69">
        <f t="shared" si="61"/>
        <v>1217.9000000000001</v>
      </c>
      <c r="AI178" s="36">
        <v>0</v>
      </c>
      <c r="AJ178" s="36">
        <v>0</v>
      </c>
      <c r="AK178" s="68">
        <f t="shared" si="62"/>
        <v>0</v>
      </c>
      <c r="AL178" s="68">
        <f t="shared" si="63"/>
        <v>0</v>
      </c>
      <c r="AM178" s="69">
        <f t="shared" si="64"/>
        <v>0</v>
      </c>
      <c r="AN178" s="67">
        <v>0</v>
      </c>
      <c r="AO178" s="67">
        <v>0</v>
      </c>
    </row>
    <row r="179" spans="1:41" s="3" customFormat="1" ht="15">
      <c r="A179" s="58" t="s">
        <v>576</v>
      </c>
      <c r="B179" s="58" t="s">
        <v>169</v>
      </c>
      <c r="C179" s="58" t="str">
        <f t="shared" si="66"/>
        <v>24014 NESPELEM SCHOOL DISTRICT</v>
      </c>
      <c r="D179" s="36">
        <v>0</v>
      </c>
      <c r="E179" s="36">
        <v>0</v>
      </c>
      <c r="F179" s="36">
        <v>0</v>
      </c>
      <c r="G179" s="36">
        <v>298106.48</v>
      </c>
      <c r="H179" s="36">
        <v>17169.55</v>
      </c>
      <c r="I179" s="36">
        <v>37401.620000000003</v>
      </c>
      <c r="J179" s="36">
        <v>81452.42</v>
      </c>
      <c r="K179" s="36">
        <v>0</v>
      </c>
      <c r="L179" s="36">
        <v>0</v>
      </c>
      <c r="M179" s="36">
        <v>186004.18</v>
      </c>
      <c r="N179" s="50">
        <v>0.1109</v>
      </c>
      <c r="O179" s="53">
        <v>0.22589999999999999</v>
      </c>
      <c r="P179" s="36">
        <v>0</v>
      </c>
      <c r="Q179" s="66">
        <v>0</v>
      </c>
      <c r="R179" s="66">
        <v>0</v>
      </c>
      <c r="S179" s="67">
        <v>0</v>
      </c>
      <c r="T179" s="67">
        <v>0</v>
      </c>
      <c r="U179" s="67">
        <v>0</v>
      </c>
      <c r="V179" s="36">
        <v>0</v>
      </c>
      <c r="W179" s="67">
        <v>0</v>
      </c>
      <c r="X179" s="67">
        <v>0</v>
      </c>
      <c r="Y179" s="36">
        <v>0</v>
      </c>
      <c r="Z179" s="36">
        <v>0</v>
      </c>
      <c r="AA179" s="36">
        <v>0</v>
      </c>
      <c r="AB179" s="36">
        <v>19048.669999999998</v>
      </c>
      <c r="AC179" s="36">
        <v>7934.5</v>
      </c>
      <c r="AD179" s="36">
        <v>0.86</v>
      </c>
      <c r="AE179" s="36">
        <v>7706.14</v>
      </c>
      <c r="AF179" s="68">
        <f t="shared" si="59"/>
        <v>8960.6279069767443</v>
      </c>
      <c r="AG179" s="68">
        <f t="shared" si="60"/>
        <v>9226.1627906976737</v>
      </c>
      <c r="AH179" s="69">
        <f t="shared" si="61"/>
        <v>265.52999999999997</v>
      </c>
      <c r="AI179" s="36">
        <v>2.0699999999999998</v>
      </c>
      <c r="AJ179" s="36">
        <v>17774.91</v>
      </c>
      <c r="AK179" s="68">
        <f t="shared" si="62"/>
        <v>8586.9130434782619</v>
      </c>
      <c r="AL179" s="68">
        <f t="shared" si="63"/>
        <v>9202.2560386473433</v>
      </c>
      <c r="AM179" s="69">
        <f t="shared" si="64"/>
        <v>615.34</v>
      </c>
      <c r="AN179" s="67">
        <v>0</v>
      </c>
      <c r="AO179" s="67">
        <v>0</v>
      </c>
    </row>
    <row r="180" spans="1:41" s="3" customFormat="1" ht="15">
      <c r="A180" s="58" t="s">
        <v>589</v>
      </c>
      <c r="B180" s="58" t="s">
        <v>183</v>
      </c>
      <c r="C180" s="58" t="str">
        <f t="shared" si="66"/>
        <v>26056 NEWPORT SCHOOL DISTRICT</v>
      </c>
      <c r="D180" s="36">
        <v>0</v>
      </c>
      <c r="E180" s="36">
        <v>0</v>
      </c>
      <c r="F180" s="36">
        <v>6913.79</v>
      </c>
      <c r="G180" s="36">
        <v>1952418.07</v>
      </c>
      <c r="H180" s="36">
        <v>388418.93</v>
      </c>
      <c r="I180" s="36">
        <v>331316.03000000003</v>
      </c>
      <c r="J180" s="36">
        <v>431677.06</v>
      </c>
      <c r="K180" s="36">
        <v>0</v>
      </c>
      <c r="L180" s="36">
        <v>34180.93</v>
      </c>
      <c r="M180" s="36">
        <v>892703.51</v>
      </c>
      <c r="N180" s="50">
        <v>1.41E-2</v>
      </c>
      <c r="O180" s="53">
        <v>0.14410000000000001</v>
      </c>
      <c r="P180" s="36">
        <v>0</v>
      </c>
      <c r="Q180" s="66">
        <v>0</v>
      </c>
      <c r="R180" s="66">
        <v>0</v>
      </c>
      <c r="S180" s="67">
        <v>0</v>
      </c>
      <c r="T180" s="67">
        <v>0</v>
      </c>
      <c r="U180" s="67">
        <v>0</v>
      </c>
      <c r="V180" s="36">
        <v>0</v>
      </c>
      <c r="W180" s="67">
        <v>0</v>
      </c>
      <c r="X180" s="67">
        <v>0</v>
      </c>
      <c r="Y180" s="36">
        <v>0</v>
      </c>
      <c r="Z180" s="36">
        <v>0</v>
      </c>
      <c r="AA180" s="36">
        <v>59095.8</v>
      </c>
      <c r="AB180" s="36">
        <v>306036.21999999997</v>
      </c>
      <c r="AC180" s="36">
        <v>867998.62</v>
      </c>
      <c r="AD180" s="36">
        <v>93.66</v>
      </c>
      <c r="AE180" s="36">
        <v>828678.03</v>
      </c>
      <c r="AF180" s="68">
        <f t="shared" si="59"/>
        <v>8847.7261370916094</v>
      </c>
      <c r="AG180" s="68">
        <f t="shared" si="60"/>
        <v>9267.5487935084348</v>
      </c>
      <c r="AH180" s="69">
        <f t="shared" si="61"/>
        <v>419.82</v>
      </c>
      <c r="AI180" s="36">
        <v>33.369999999999997</v>
      </c>
      <c r="AJ180" s="36">
        <v>288160.46999999997</v>
      </c>
      <c r="AK180" s="68">
        <f t="shared" si="62"/>
        <v>8635.3152532214554</v>
      </c>
      <c r="AL180" s="68">
        <f t="shared" si="63"/>
        <v>9170.998501648186</v>
      </c>
      <c r="AM180" s="69">
        <f t="shared" si="64"/>
        <v>535.67999999999995</v>
      </c>
      <c r="AN180" s="67">
        <v>0</v>
      </c>
      <c r="AO180" s="67">
        <v>0</v>
      </c>
    </row>
    <row r="181" spans="1:41" s="3" customFormat="1" ht="15">
      <c r="A181" s="58" t="s">
        <v>639</v>
      </c>
      <c r="B181" s="58" t="s">
        <v>233</v>
      </c>
      <c r="C181" s="58" t="str">
        <f t="shared" si="66"/>
        <v>32325 NINE MILE FALLS SCHOOL DISTRICT</v>
      </c>
      <c r="D181" s="36">
        <v>0</v>
      </c>
      <c r="E181" s="36">
        <v>0</v>
      </c>
      <c r="F181" s="36">
        <v>0</v>
      </c>
      <c r="G181" s="36">
        <v>2161482.0099999998</v>
      </c>
      <c r="H181" s="36">
        <v>373236.37</v>
      </c>
      <c r="I181" s="36">
        <v>0</v>
      </c>
      <c r="J181" s="36">
        <v>298827.62</v>
      </c>
      <c r="K181" s="36">
        <v>19115.55</v>
      </c>
      <c r="L181" s="36">
        <v>43641.73</v>
      </c>
      <c r="M181" s="36">
        <v>1358222</v>
      </c>
      <c r="N181" s="50">
        <v>3.8600000000000002E-2</v>
      </c>
      <c r="O181" s="53">
        <v>0.14280000000000001</v>
      </c>
      <c r="P181" s="36">
        <v>0</v>
      </c>
      <c r="Q181" s="66">
        <v>0</v>
      </c>
      <c r="R181" s="66">
        <v>0</v>
      </c>
      <c r="S181" s="67">
        <v>0</v>
      </c>
      <c r="T181" s="67">
        <v>0</v>
      </c>
      <c r="U181" s="67">
        <v>0</v>
      </c>
      <c r="V181" s="36">
        <v>0</v>
      </c>
      <c r="W181" s="67">
        <v>0</v>
      </c>
      <c r="X181" s="67">
        <v>0</v>
      </c>
      <c r="Y181" s="36">
        <v>0</v>
      </c>
      <c r="Z181" s="36">
        <v>0</v>
      </c>
      <c r="AA181" s="36">
        <v>0</v>
      </c>
      <c r="AB181" s="36">
        <v>82468.97</v>
      </c>
      <c r="AC181" s="36">
        <v>1036242.11</v>
      </c>
      <c r="AD181" s="36">
        <v>108.54</v>
      </c>
      <c r="AE181" s="36">
        <v>979457.61</v>
      </c>
      <c r="AF181" s="68">
        <f t="shared" si="59"/>
        <v>9023.9322830292967</v>
      </c>
      <c r="AG181" s="68">
        <f t="shared" si="60"/>
        <v>9547.0988575640313</v>
      </c>
      <c r="AH181" s="69">
        <f t="shared" si="61"/>
        <v>523.16999999999996</v>
      </c>
      <c r="AI181" s="36">
        <v>8.81</v>
      </c>
      <c r="AJ181" s="36">
        <v>77683.11</v>
      </c>
      <c r="AK181" s="68">
        <f t="shared" si="62"/>
        <v>8817.6061293984112</v>
      </c>
      <c r="AL181" s="68">
        <f t="shared" si="63"/>
        <v>9360.8365493757083</v>
      </c>
      <c r="AM181" s="69">
        <f t="shared" si="64"/>
        <v>543.23</v>
      </c>
      <c r="AN181" s="67">
        <v>0</v>
      </c>
      <c r="AO181" s="67">
        <v>0</v>
      </c>
    </row>
    <row r="182" spans="1:41" s="3" customFormat="1" ht="15">
      <c r="A182" s="58" t="s">
        <v>680</v>
      </c>
      <c r="B182" s="58" t="s">
        <v>277</v>
      </c>
      <c r="C182" s="58" t="str">
        <f t="shared" si="66"/>
        <v>37506 NOOKSACK VALLEY SCHOOL DISTRICT</v>
      </c>
      <c r="D182" s="36">
        <v>0</v>
      </c>
      <c r="E182" s="36">
        <v>63388.83</v>
      </c>
      <c r="F182" s="36">
        <v>20340.25</v>
      </c>
      <c r="G182" s="36">
        <v>3492394.3</v>
      </c>
      <c r="H182" s="36">
        <v>660759.82999999996</v>
      </c>
      <c r="I182" s="36">
        <v>477943.34</v>
      </c>
      <c r="J182" s="36">
        <v>775728.72</v>
      </c>
      <c r="K182" s="36">
        <v>459160.95</v>
      </c>
      <c r="L182" s="36">
        <v>59360.29</v>
      </c>
      <c r="M182" s="36">
        <v>1513772.14</v>
      </c>
      <c r="N182" s="50">
        <v>1.9E-2</v>
      </c>
      <c r="O182" s="53">
        <v>0.15629999999999999</v>
      </c>
      <c r="P182" s="36">
        <v>0</v>
      </c>
      <c r="Q182" s="66">
        <v>0</v>
      </c>
      <c r="R182" s="66">
        <v>0</v>
      </c>
      <c r="S182" s="67">
        <v>0</v>
      </c>
      <c r="T182" s="67">
        <v>0</v>
      </c>
      <c r="U182" s="67">
        <v>0</v>
      </c>
      <c r="V182" s="36">
        <v>0</v>
      </c>
      <c r="W182" s="67">
        <v>0</v>
      </c>
      <c r="X182" s="67">
        <v>0</v>
      </c>
      <c r="Y182" s="36">
        <v>0</v>
      </c>
      <c r="Z182" s="36">
        <v>0</v>
      </c>
      <c r="AA182" s="36">
        <v>0</v>
      </c>
      <c r="AB182" s="36">
        <v>119683.76</v>
      </c>
      <c r="AC182" s="36">
        <v>1265669.44</v>
      </c>
      <c r="AD182" s="36">
        <v>128.66999999999999</v>
      </c>
      <c r="AE182" s="36">
        <v>1185321.5900000001</v>
      </c>
      <c r="AF182" s="68">
        <f t="shared" si="59"/>
        <v>9212.1053081526406</v>
      </c>
      <c r="AG182" s="68">
        <f t="shared" si="60"/>
        <v>9836.5542861583908</v>
      </c>
      <c r="AH182" s="69">
        <f t="shared" si="61"/>
        <v>624.45000000000005</v>
      </c>
      <c r="AI182" s="36">
        <v>12.52</v>
      </c>
      <c r="AJ182" s="36">
        <v>112632.09</v>
      </c>
      <c r="AK182" s="68">
        <f t="shared" si="62"/>
        <v>8996.1733226837059</v>
      </c>
      <c r="AL182" s="68">
        <f t="shared" si="63"/>
        <v>9559.4057507987218</v>
      </c>
      <c r="AM182" s="69">
        <f t="shared" si="64"/>
        <v>563.23</v>
      </c>
      <c r="AN182" s="67">
        <v>0</v>
      </c>
      <c r="AO182" s="67">
        <v>0</v>
      </c>
    </row>
    <row r="183" spans="1:41" s="3" customFormat="1" ht="15">
      <c r="A183" s="58" t="s">
        <v>489</v>
      </c>
      <c r="B183" s="58" t="s">
        <v>82</v>
      </c>
      <c r="C183" s="58" t="str">
        <f t="shared" si="66"/>
        <v>14064 NORTH BEACH SCHOOL DISTRICT</v>
      </c>
      <c r="D183" s="36">
        <v>0</v>
      </c>
      <c r="E183" s="36">
        <v>0</v>
      </c>
      <c r="F183" s="36">
        <v>3256.21</v>
      </c>
      <c r="G183" s="36">
        <v>1080556.3899999999</v>
      </c>
      <c r="H183" s="36">
        <v>179961.32</v>
      </c>
      <c r="I183" s="36">
        <v>197813.03</v>
      </c>
      <c r="J183" s="36">
        <v>315212.56</v>
      </c>
      <c r="K183" s="36">
        <v>15719.61</v>
      </c>
      <c r="L183" s="36">
        <v>19012.490000000002</v>
      </c>
      <c r="M183" s="36">
        <v>720299.09</v>
      </c>
      <c r="N183" s="50">
        <v>2.3900000000000001E-2</v>
      </c>
      <c r="O183" s="53">
        <v>0.1971</v>
      </c>
      <c r="P183" s="36">
        <v>0</v>
      </c>
      <c r="Q183" s="66">
        <v>0</v>
      </c>
      <c r="R183" s="66">
        <v>0</v>
      </c>
      <c r="S183" s="67">
        <v>0</v>
      </c>
      <c r="T183" s="67">
        <v>0</v>
      </c>
      <c r="U183" s="67">
        <v>0</v>
      </c>
      <c r="V183" s="36">
        <v>0</v>
      </c>
      <c r="W183" s="67">
        <v>0</v>
      </c>
      <c r="X183" s="67">
        <v>0</v>
      </c>
      <c r="Y183" s="36">
        <v>0</v>
      </c>
      <c r="Z183" s="36">
        <v>11820.22</v>
      </c>
      <c r="AA183" s="36">
        <v>1216.71</v>
      </c>
      <c r="AB183" s="36">
        <v>100673.52</v>
      </c>
      <c r="AC183" s="36">
        <v>408708.64</v>
      </c>
      <c r="AD183" s="36">
        <v>41.42</v>
      </c>
      <c r="AE183" s="36">
        <v>366414.45</v>
      </c>
      <c r="AF183" s="68">
        <f t="shared" si="59"/>
        <v>8846.3169966199894</v>
      </c>
      <c r="AG183" s="68">
        <f t="shared" si="60"/>
        <v>9867.4225012071456</v>
      </c>
      <c r="AH183" s="69">
        <f t="shared" si="61"/>
        <v>1021.11</v>
      </c>
      <c r="AI183" s="36">
        <v>10.99</v>
      </c>
      <c r="AJ183" s="36">
        <v>94778.54</v>
      </c>
      <c r="AK183" s="68">
        <f t="shared" si="62"/>
        <v>8624.0709736123736</v>
      </c>
      <c r="AL183" s="68">
        <f t="shared" si="63"/>
        <v>9160.4658780709742</v>
      </c>
      <c r="AM183" s="69">
        <f t="shared" si="64"/>
        <v>536.39</v>
      </c>
      <c r="AN183" s="67">
        <v>0</v>
      </c>
      <c r="AO183" s="67">
        <v>0</v>
      </c>
    </row>
    <row r="184" spans="1:41" s="3" customFormat="1" ht="15">
      <c r="A184" s="58" t="s">
        <v>473</v>
      </c>
      <c r="B184" s="58" t="s">
        <v>66</v>
      </c>
      <c r="C184" s="58" t="str">
        <f t="shared" si="66"/>
        <v>11051 NORTH FRANKLIN SCHOOL DISTRICT</v>
      </c>
      <c r="D184" s="36">
        <v>0</v>
      </c>
      <c r="E184" s="36">
        <v>101535.34</v>
      </c>
      <c r="F184" s="36">
        <v>60372.92</v>
      </c>
      <c r="G184" s="36">
        <v>3278508.03</v>
      </c>
      <c r="H184" s="36">
        <v>577861.06999999995</v>
      </c>
      <c r="I184" s="36">
        <v>601646.61</v>
      </c>
      <c r="J184" s="36">
        <v>1008908.72</v>
      </c>
      <c r="K184" s="36">
        <v>1152327.56</v>
      </c>
      <c r="L184" s="36">
        <v>59323.13</v>
      </c>
      <c r="M184" s="36">
        <v>1982386.62</v>
      </c>
      <c r="N184" s="50">
        <v>1.5800000000000002E-2</v>
      </c>
      <c r="O184" s="53">
        <v>0.14660000000000001</v>
      </c>
      <c r="P184" s="36">
        <v>0</v>
      </c>
      <c r="Q184" s="66">
        <v>0</v>
      </c>
      <c r="R184" s="66">
        <v>0</v>
      </c>
      <c r="S184" s="67">
        <v>0</v>
      </c>
      <c r="T184" s="67">
        <v>0</v>
      </c>
      <c r="U184" s="67">
        <v>0</v>
      </c>
      <c r="V184" s="36">
        <v>0</v>
      </c>
      <c r="W184" s="67">
        <v>0</v>
      </c>
      <c r="X184" s="67">
        <v>0</v>
      </c>
      <c r="Y184" s="36">
        <v>0</v>
      </c>
      <c r="Z184" s="36">
        <v>6659.12</v>
      </c>
      <c r="AA184" s="36">
        <v>49837.5</v>
      </c>
      <c r="AB184" s="36">
        <v>134204.51999999999</v>
      </c>
      <c r="AC184" s="36">
        <v>1061236.96</v>
      </c>
      <c r="AD184" s="36">
        <v>111.56</v>
      </c>
      <c r="AE184" s="36">
        <v>987022.79</v>
      </c>
      <c r="AF184" s="68">
        <f t="shared" si="59"/>
        <v>8847.4613660810319</v>
      </c>
      <c r="AG184" s="68">
        <f t="shared" si="60"/>
        <v>9512.7013266403719</v>
      </c>
      <c r="AH184" s="69">
        <f t="shared" si="61"/>
        <v>665.24</v>
      </c>
      <c r="AI184" s="36">
        <v>14.65</v>
      </c>
      <c r="AJ184" s="36">
        <v>126295.36</v>
      </c>
      <c r="AK184" s="68">
        <f t="shared" si="62"/>
        <v>8620.843686006825</v>
      </c>
      <c r="AL184" s="68">
        <f t="shared" si="63"/>
        <v>9160.7180887371997</v>
      </c>
      <c r="AM184" s="69">
        <f t="shared" si="64"/>
        <v>539.87</v>
      </c>
      <c r="AN184" s="67">
        <v>0</v>
      </c>
      <c r="AO184" s="67">
        <v>0</v>
      </c>
    </row>
    <row r="185" spans="1:41" s="3" customFormat="1" ht="15">
      <c r="A185" s="58" t="s">
        <v>529</v>
      </c>
      <c r="B185" s="58" t="s">
        <v>122</v>
      </c>
      <c r="C185" s="58" t="str">
        <f t="shared" si="66"/>
        <v>18400 NORTH KITSAP SCHOOL DISTRICT</v>
      </c>
      <c r="D185" s="36">
        <v>0</v>
      </c>
      <c r="E185" s="36">
        <v>0</v>
      </c>
      <c r="F185" s="36">
        <v>0</v>
      </c>
      <c r="G185" s="36">
        <v>8960311.5899999999</v>
      </c>
      <c r="H185" s="36">
        <v>1247587.3400000001</v>
      </c>
      <c r="I185" s="36">
        <v>103594.86</v>
      </c>
      <c r="J185" s="36">
        <v>1468522.01</v>
      </c>
      <c r="K185" s="36">
        <v>534811.21</v>
      </c>
      <c r="L185" s="36">
        <v>188748.08</v>
      </c>
      <c r="M185" s="36">
        <v>3631846.73</v>
      </c>
      <c r="N185" s="50">
        <v>3.8899999999999997E-2</v>
      </c>
      <c r="O185" s="53">
        <v>0.1842</v>
      </c>
      <c r="P185" s="36">
        <v>0</v>
      </c>
      <c r="Q185" s="66">
        <v>0</v>
      </c>
      <c r="R185" s="66">
        <v>0</v>
      </c>
      <c r="S185" s="67">
        <v>0</v>
      </c>
      <c r="T185" s="67">
        <v>0</v>
      </c>
      <c r="U185" s="67">
        <v>0</v>
      </c>
      <c r="V185" s="36">
        <v>0</v>
      </c>
      <c r="W185" s="67">
        <v>0</v>
      </c>
      <c r="X185" s="67">
        <v>0</v>
      </c>
      <c r="Y185" s="36">
        <v>0</v>
      </c>
      <c r="Z185" s="36">
        <v>87981.58</v>
      </c>
      <c r="AA185" s="36">
        <v>241749.76000000001</v>
      </c>
      <c r="AB185" s="36">
        <v>924550.46</v>
      </c>
      <c r="AC185" s="36">
        <v>3418360.75</v>
      </c>
      <c r="AD185" s="36">
        <v>316.66000000000003</v>
      </c>
      <c r="AE185" s="36">
        <v>3203774.21</v>
      </c>
      <c r="AF185" s="68">
        <f t="shared" si="59"/>
        <v>10117.394713572916</v>
      </c>
      <c r="AG185" s="68">
        <f t="shared" si="60"/>
        <v>10795.050685277583</v>
      </c>
      <c r="AH185" s="69">
        <f t="shared" si="61"/>
        <v>677.66</v>
      </c>
      <c r="AI185" s="36">
        <v>87.93</v>
      </c>
      <c r="AJ185" s="36">
        <v>870151.58</v>
      </c>
      <c r="AK185" s="68">
        <f t="shared" si="62"/>
        <v>9895.9579210735792</v>
      </c>
      <c r="AL185" s="68">
        <f t="shared" si="63"/>
        <v>10514.619128852495</v>
      </c>
      <c r="AM185" s="69">
        <f t="shared" si="64"/>
        <v>618.66</v>
      </c>
      <c r="AN185" s="67">
        <v>0</v>
      </c>
      <c r="AO185" s="67">
        <v>0</v>
      </c>
    </row>
    <row r="186" spans="1:41" s="3" customFormat="1" ht="15">
      <c r="A186" s="58" t="s">
        <v>574</v>
      </c>
      <c r="B186" s="58" t="s">
        <v>167</v>
      </c>
      <c r="C186" s="58" t="str">
        <f t="shared" si="66"/>
        <v>23403 NORTH MASON SCHOOL DISTRICT</v>
      </c>
      <c r="D186" s="36">
        <v>0</v>
      </c>
      <c r="E186" s="36">
        <v>86867.75</v>
      </c>
      <c r="F186" s="36">
        <v>44452.71</v>
      </c>
      <c r="G186" s="36">
        <v>4193793.46</v>
      </c>
      <c r="H186" s="36">
        <v>537799.16</v>
      </c>
      <c r="I186" s="36">
        <v>510959.11</v>
      </c>
      <c r="J186" s="36">
        <v>941826.28</v>
      </c>
      <c r="K186" s="36">
        <v>645869.61</v>
      </c>
      <c r="L186" s="36">
        <v>74928.44</v>
      </c>
      <c r="M186" s="36">
        <v>2289333.9300000002</v>
      </c>
      <c r="N186" s="50">
        <v>2.4899999999999999E-2</v>
      </c>
      <c r="O186" s="53">
        <v>0.16320000000000001</v>
      </c>
      <c r="P186" s="36">
        <v>0</v>
      </c>
      <c r="Q186" s="66">
        <v>0</v>
      </c>
      <c r="R186" s="66">
        <v>0</v>
      </c>
      <c r="S186" s="67">
        <v>0</v>
      </c>
      <c r="T186" s="67">
        <v>0</v>
      </c>
      <c r="U186" s="67">
        <v>0</v>
      </c>
      <c r="V186" s="36">
        <v>0</v>
      </c>
      <c r="W186" s="67">
        <v>0</v>
      </c>
      <c r="X186" s="67">
        <v>0</v>
      </c>
      <c r="Y186" s="36">
        <v>0</v>
      </c>
      <c r="Z186" s="36">
        <v>67618.490000000005</v>
      </c>
      <c r="AA186" s="36">
        <v>165563.76999999999</v>
      </c>
      <c r="AB186" s="36">
        <v>573358.93000000005</v>
      </c>
      <c r="AC186" s="36">
        <v>2109094.46</v>
      </c>
      <c r="AD186" s="36">
        <v>210.13</v>
      </c>
      <c r="AE186" s="36">
        <v>2012451.67</v>
      </c>
      <c r="AF186" s="68">
        <f t="shared" si="59"/>
        <v>9577.1744634274019</v>
      </c>
      <c r="AG186" s="68">
        <f t="shared" si="60"/>
        <v>10037.093513539237</v>
      </c>
      <c r="AH186" s="69">
        <f t="shared" si="61"/>
        <v>459.92</v>
      </c>
      <c r="AI186" s="36">
        <v>57.69</v>
      </c>
      <c r="AJ186" s="36">
        <v>539869.22</v>
      </c>
      <c r="AK186" s="68">
        <f t="shared" si="62"/>
        <v>9358.1074709655059</v>
      </c>
      <c r="AL186" s="68">
        <f t="shared" si="63"/>
        <v>9938.6189980932577</v>
      </c>
      <c r="AM186" s="69">
        <f t="shared" si="64"/>
        <v>580.51</v>
      </c>
      <c r="AN186" s="67">
        <v>0</v>
      </c>
      <c r="AO186" s="67">
        <v>0</v>
      </c>
    </row>
    <row r="187" spans="1:41" s="3" customFormat="1" ht="15">
      <c r="A187" s="58" t="s">
        <v>588</v>
      </c>
      <c r="B187" s="58" t="s">
        <v>182</v>
      </c>
      <c r="C187" s="58" t="str">
        <f t="shared" si="66"/>
        <v>25200 NORTH RIVER SCHOOL DISTRICT</v>
      </c>
      <c r="D187" s="36">
        <v>0</v>
      </c>
      <c r="E187" s="36">
        <v>0</v>
      </c>
      <c r="F187" s="36">
        <v>0</v>
      </c>
      <c r="G187" s="36">
        <v>72971.600000000006</v>
      </c>
      <c r="H187" s="36">
        <v>4928.55</v>
      </c>
      <c r="I187" s="36">
        <v>21921.5</v>
      </c>
      <c r="J187" s="36">
        <v>38648.35</v>
      </c>
      <c r="K187" s="36">
        <v>0</v>
      </c>
      <c r="L187" s="36">
        <v>0</v>
      </c>
      <c r="M187" s="36">
        <v>191844.93</v>
      </c>
      <c r="N187" s="50">
        <v>7.1099999999999997E-2</v>
      </c>
      <c r="O187" s="53">
        <v>0.30719999999999997</v>
      </c>
      <c r="P187" s="36">
        <v>0</v>
      </c>
      <c r="Q187" s="66">
        <v>0</v>
      </c>
      <c r="R187" s="66">
        <v>0</v>
      </c>
      <c r="S187" s="67">
        <v>0</v>
      </c>
      <c r="T187" s="67">
        <v>0</v>
      </c>
      <c r="U187" s="67">
        <v>0</v>
      </c>
      <c r="V187" s="36">
        <v>0</v>
      </c>
      <c r="W187" s="67">
        <v>0</v>
      </c>
      <c r="X187" s="67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9849.65</v>
      </c>
      <c r="AD187" s="36">
        <v>0</v>
      </c>
      <c r="AE187" s="36">
        <v>0</v>
      </c>
      <c r="AF187" s="68">
        <f t="shared" si="59"/>
        <v>0</v>
      </c>
      <c r="AG187" s="68">
        <f t="shared" si="60"/>
        <v>0</v>
      </c>
      <c r="AH187" s="69">
        <f t="shared" si="61"/>
        <v>0</v>
      </c>
      <c r="AI187" s="36">
        <v>0</v>
      </c>
      <c r="AJ187" s="36">
        <v>0</v>
      </c>
      <c r="AK187" s="68">
        <f t="shared" si="62"/>
        <v>0</v>
      </c>
      <c r="AL187" s="68">
        <f t="shared" si="63"/>
        <v>0</v>
      </c>
      <c r="AM187" s="69">
        <f t="shared" si="64"/>
        <v>0</v>
      </c>
      <c r="AN187" s="67">
        <v>0</v>
      </c>
      <c r="AO187" s="67">
        <v>0</v>
      </c>
    </row>
    <row r="188" spans="1:41" s="3" customFormat="1" ht="15">
      <c r="A188" s="58" t="s">
        <v>660</v>
      </c>
      <c r="B188" s="58" t="s">
        <v>257</v>
      </c>
      <c r="C188" s="58" t="str">
        <f t="shared" si="66"/>
        <v>34003 NORTH THURSTON SCHOOL DISTRICT</v>
      </c>
      <c r="D188" s="36">
        <v>0</v>
      </c>
      <c r="E188" s="36">
        <v>425356.98</v>
      </c>
      <c r="F188" s="36">
        <v>81691.44</v>
      </c>
      <c r="G188" s="36">
        <v>27397486.73</v>
      </c>
      <c r="H188" s="36">
        <v>5491837.7000000002</v>
      </c>
      <c r="I188" s="36">
        <v>1097124.25</v>
      </c>
      <c r="J188" s="36">
        <v>4383550.2300000004</v>
      </c>
      <c r="K188" s="36">
        <v>1638705.94</v>
      </c>
      <c r="L188" s="36">
        <v>446259.29</v>
      </c>
      <c r="M188" s="36">
        <v>10841836.619999999</v>
      </c>
      <c r="N188" s="50">
        <v>2.8000000000000001E-2</v>
      </c>
      <c r="O188" s="53">
        <v>0.12659999999999999</v>
      </c>
      <c r="P188" s="36">
        <v>0</v>
      </c>
      <c r="Q188" s="66">
        <v>0</v>
      </c>
      <c r="R188" s="66">
        <v>0</v>
      </c>
      <c r="S188" s="67">
        <v>0</v>
      </c>
      <c r="T188" s="67">
        <v>0</v>
      </c>
      <c r="U188" s="67">
        <v>0</v>
      </c>
      <c r="V188" s="36">
        <v>0</v>
      </c>
      <c r="W188" s="67">
        <v>0</v>
      </c>
      <c r="X188" s="67">
        <v>0</v>
      </c>
      <c r="Y188" s="36">
        <v>0</v>
      </c>
      <c r="Z188" s="36">
        <v>62570.93</v>
      </c>
      <c r="AA188" s="36">
        <v>0</v>
      </c>
      <c r="AB188" s="36">
        <v>1738278.77</v>
      </c>
      <c r="AC188" s="36">
        <v>7898997.2000000002</v>
      </c>
      <c r="AD188" s="36">
        <v>806.78</v>
      </c>
      <c r="AE188" s="36">
        <v>7211754.5300000003</v>
      </c>
      <c r="AF188" s="68">
        <f t="shared" si="59"/>
        <v>8938.9356825900504</v>
      </c>
      <c r="AG188" s="68">
        <f t="shared" si="60"/>
        <v>9790.7697265673432</v>
      </c>
      <c r="AH188" s="69">
        <f t="shared" si="61"/>
        <v>851.83</v>
      </c>
      <c r="AI188" s="36">
        <v>187.62</v>
      </c>
      <c r="AJ188" s="36">
        <v>1636265.75</v>
      </c>
      <c r="AK188" s="68">
        <f t="shared" si="62"/>
        <v>8721.1691184308711</v>
      </c>
      <c r="AL188" s="68">
        <f t="shared" si="63"/>
        <v>9264.8905766975804</v>
      </c>
      <c r="AM188" s="69">
        <f t="shared" si="64"/>
        <v>543.72</v>
      </c>
      <c r="AN188" s="67">
        <v>0</v>
      </c>
      <c r="AO188" s="67">
        <v>0</v>
      </c>
    </row>
    <row r="189" spans="1:41" s="3" customFormat="1" ht="15">
      <c r="A189" s="58" t="s">
        <v>657</v>
      </c>
      <c r="B189" s="58" t="s">
        <v>254</v>
      </c>
      <c r="C189" s="58" t="str">
        <f t="shared" si="66"/>
        <v>33211 NORTHPORT SCHOOL DISTRICT</v>
      </c>
      <c r="D189" s="36">
        <v>0</v>
      </c>
      <c r="E189" s="36">
        <v>0</v>
      </c>
      <c r="F189" s="36">
        <v>0</v>
      </c>
      <c r="G189" s="36">
        <v>387714.4</v>
      </c>
      <c r="H189" s="36">
        <v>55363.24</v>
      </c>
      <c r="I189" s="36">
        <v>49972.72</v>
      </c>
      <c r="J189" s="36">
        <v>113347.69</v>
      </c>
      <c r="K189" s="36">
        <v>0</v>
      </c>
      <c r="L189" s="36">
        <v>7792.01</v>
      </c>
      <c r="M189" s="36">
        <v>351764.86</v>
      </c>
      <c r="N189" s="50">
        <v>2.2200000000000001E-2</v>
      </c>
      <c r="O189" s="53">
        <v>0.27189999999999998</v>
      </c>
      <c r="P189" s="36">
        <v>0</v>
      </c>
      <c r="Q189" s="66">
        <v>0</v>
      </c>
      <c r="R189" s="66">
        <v>0</v>
      </c>
      <c r="S189" s="67">
        <v>0</v>
      </c>
      <c r="T189" s="67">
        <v>0</v>
      </c>
      <c r="U189" s="67">
        <v>0</v>
      </c>
      <c r="V189" s="36">
        <v>0</v>
      </c>
      <c r="W189" s="67">
        <v>0</v>
      </c>
      <c r="X189" s="67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49112.800000000003</v>
      </c>
      <c r="AD189" s="36">
        <v>5.35</v>
      </c>
      <c r="AE189" s="36">
        <v>47359.59</v>
      </c>
      <c r="AF189" s="68">
        <f t="shared" si="59"/>
        <v>8852.2598130841125</v>
      </c>
      <c r="AG189" s="68">
        <f t="shared" si="60"/>
        <v>9179.9626168224313</v>
      </c>
      <c r="AH189" s="69">
        <f t="shared" si="61"/>
        <v>327.7</v>
      </c>
      <c r="AI189" s="36">
        <v>0</v>
      </c>
      <c r="AJ189" s="36">
        <v>0</v>
      </c>
      <c r="AK189" s="68">
        <f t="shared" si="62"/>
        <v>0</v>
      </c>
      <c r="AL189" s="68">
        <f t="shared" si="63"/>
        <v>0</v>
      </c>
      <c r="AM189" s="69">
        <f t="shared" si="64"/>
        <v>0</v>
      </c>
      <c r="AN189" s="67">
        <v>0</v>
      </c>
      <c r="AO189" s="67">
        <v>0</v>
      </c>
    </row>
    <row r="190" spans="1:41" s="3" customFormat="1" ht="15">
      <c r="A190" s="58" t="s">
        <v>526</v>
      </c>
      <c r="B190" s="58" t="s">
        <v>119</v>
      </c>
      <c r="C190" s="58" t="str">
        <f t="shared" si="66"/>
        <v>17417 NORTHSHORE SCHOOL DISTRICT</v>
      </c>
      <c r="D190" s="36">
        <v>0</v>
      </c>
      <c r="E190" s="36">
        <v>4778.0600000000004</v>
      </c>
      <c r="F190" s="36">
        <v>0</v>
      </c>
      <c r="G190" s="36">
        <v>36829050.490000002</v>
      </c>
      <c r="H190" s="36">
        <v>5730759.75</v>
      </c>
      <c r="I190" s="36">
        <v>0</v>
      </c>
      <c r="J190" s="36">
        <v>2793848.15</v>
      </c>
      <c r="K190" s="36">
        <v>4703344.6500000004</v>
      </c>
      <c r="L190" s="36">
        <v>775341.24</v>
      </c>
      <c r="M190" s="36">
        <v>13568594.26</v>
      </c>
      <c r="N190" s="50">
        <v>3.5400000000000001E-2</v>
      </c>
      <c r="O190" s="53">
        <v>0.12939999999999999</v>
      </c>
      <c r="P190" s="36">
        <v>0</v>
      </c>
      <c r="Q190" s="66">
        <v>0</v>
      </c>
      <c r="R190" s="66">
        <v>0</v>
      </c>
      <c r="S190" s="67">
        <v>162980.66</v>
      </c>
      <c r="T190" s="67">
        <v>0</v>
      </c>
      <c r="U190" s="67">
        <v>6477.88</v>
      </c>
      <c r="V190" s="36">
        <v>0</v>
      </c>
      <c r="W190" s="67">
        <v>0</v>
      </c>
      <c r="X190" s="67">
        <v>0</v>
      </c>
      <c r="Y190" s="36">
        <v>0</v>
      </c>
      <c r="Z190" s="36">
        <v>205282.03</v>
      </c>
      <c r="AA190" s="36">
        <v>95342.98</v>
      </c>
      <c r="AB190" s="36">
        <v>1947808.67</v>
      </c>
      <c r="AC190" s="36">
        <v>10704939.550000001</v>
      </c>
      <c r="AD190" s="36">
        <v>1012.16</v>
      </c>
      <c r="AE190" s="36">
        <v>10062783.869999999</v>
      </c>
      <c r="AF190" s="68">
        <f t="shared" si="59"/>
        <v>9941.8904817420171</v>
      </c>
      <c r="AG190" s="68">
        <f t="shared" si="60"/>
        <v>10576.331360654443</v>
      </c>
      <c r="AH190" s="69">
        <f t="shared" si="61"/>
        <v>634.44000000000005</v>
      </c>
      <c r="AI190" s="36">
        <v>188.66</v>
      </c>
      <c r="AJ190" s="36">
        <v>1834135.17</v>
      </c>
      <c r="AK190" s="68">
        <f t="shared" si="62"/>
        <v>9721.9080356196337</v>
      </c>
      <c r="AL190" s="68">
        <f t="shared" si="63"/>
        <v>10324.439043782466</v>
      </c>
      <c r="AM190" s="69">
        <f t="shared" si="64"/>
        <v>602.53</v>
      </c>
      <c r="AN190" s="67">
        <v>0</v>
      </c>
      <c r="AO190" s="67">
        <v>0</v>
      </c>
    </row>
    <row r="191" spans="1:41" s="3" customFormat="1" ht="15">
      <c r="A191" s="58" t="s">
        <v>500</v>
      </c>
      <c r="B191" s="58" t="s">
        <v>93</v>
      </c>
      <c r="C191" s="58" t="str">
        <f t="shared" si="66"/>
        <v>15201 OAK HARBOR SCHOOL DISTRICT</v>
      </c>
      <c r="D191" s="36">
        <v>0</v>
      </c>
      <c r="E191" s="36">
        <v>54969.64</v>
      </c>
      <c r="F191" s="36">
        <v>5413.24</v>
      </c>
      <c r="G191" s="36">
        <v>11647449.26</v>
      </c>
      <c r="H191" s="36">
        <v>2939278.47</v>
      </c>
      <c r="I191" s="36">
        <v>304533.02</v>
      </c>
      <c r="J191" s="36">
        <v>1668964.82</v>
      </c>
      <c r="K191" s="36">
        <v>472705.73</v>
      </c>
      <c r="L191" s="36">
        <v>184624.57</v>
      </c>
      <c r="M191" s="36">
        <v>3175324.61</v>
      </c>
      <c r="N191" s="50">
        <v>2.6599999999999999E-2</v>
      </c>
      <c r="O191" s="53">
        <v>0.1089</v>
      </c>
      <c r="P191" s="36">
        <v>0</v>
      </c>
      <c r="Q191" s="66">
        <v>0</v>
      </c>
      <c r="R191" s="66">
        <v>0</v>
      </c>
      <c r="S191" s="67">
        <v>0</v>
      </c>
      <c r="T191" s="67">
        <v>0</v>
      </c>
      <c r="U191" s="67">
        <v>0</v>
      </c>
      <c r="V191" s="36">
        <v>0</v>
      </c>
      <c r="W191" s="67">
        <v>0</v>
      </c>
      <c r="X191" s="67">
        <v>0</v>
      </c>
      <c r="Y191" s="36">
        <v>0</v>
      </c>
      <c r="Z191" s="36">
        <v>18243.41</v>
      </c>
      <c r="AA191" s="36">
        <v>186825.36</v>
      </c>
      <c r="AB191" s="36">
        <v>371133.37</v>
      </c>
      <c r="AC191" s="36">
        <v>3979978.23</v>
      </c>
      <c r="AD191" s="36">
        <v>395.74</v>
      </c>
      <c r="AE191" s="36">
        <v>3790123.29</v>
      </c>
      <c r="AF191" s="68">
        <f t="shared" si="59"/>
        <v>9577.306539647243</v>
      </c>
      <c r="AG191" s="68">
        <f t="shared" si="60"/>
        <v>10057.053191489362</v>
      </c>
      <c r="AH191" s="69">
        <f t="shared" si="61"/>
        <v>479.75</v>
      </c>
      <c r="AI191" s="36">
        <v>37.33</v>
      </c>
      <c r="AJ191" s="36">
        <v>349257.37</v>
      </c>
      <c r="AK191" s="68">
        <f t="shared" si="62"/>
        <v>9355.9434770961689</v>
      </c>
      <c r="AL191" s="68">
        <f t="shared" si="63"/>
        <v>9941.9600857219393</v>
      </c>
      <c r="AM191" s="69">
        <f t="shared" si="64"/>
        <v>586.02</v>
      </c>
      <c r="AN191" s="67">
        <v>0</v>
      </c>
      <c r="AO191" s="67">
        <v>0</v>
      </c>
    </row>
    <row r="192" spans="1:41" s="3" customFormat="1" ht="15">
      <c r="A192" s="58" t="s">
        <v>694</v>
      </c>
      <c r="B192" s="58" t="s">
        <v>291</v>
      </c>
      <c r="C192" s="58" t="str">
        <f t="shared" si="66"/>
        <v>38324 OAKESDALE SCHOOL DISTRICT</v>
      </c>
      <c r="D192" s="36">
        <v>0</v>
      </c>
      <c r="E192" s="36">
        <v>3258.94</v>
      </c>
      <c r="F192" s="36">
        <v>0</v>
      </c>
      <c r="G192" s="36">
        <v>273873.58</v>
      </c>
      <c r="H192" s="36">
        <v>45936.25</v>
      </c>
      <c r="I192" s="36">
        <v>0</v>
      </c>
      <c r="J192" s="36">
        <v>40268.9</v>
      </c>
      <c r="K192" s="36">
        <v>0</v>
      </c>
      <c r="L192" s="36">
        <v>4650.4799999999996</v>
      </c>
      <c r="M192" s="36">
        <v>364386.17</v>
      </c>
      <c r="N192" s="50">
        <v>4.2599999999999999E-2</v>
      </c>
      <c r="O192" s="53">
        <v>0.28260000000000002</v>
      </c>
      <c r="P192" s="36">
        <v>0</v>
      </c>
      <c r="Q192" s="66">
        <v>0</v>
      </c>
      <c r="R192" s="66">
        <v>0</v>
      </c>
      <c r="S192" s="67">
        <v>0</v>
      </c>
      <c r="T192" s="67">
        <v>0</v>
      </c>
      <c r="U192" s="67">
        <v>0</v>
      </c>
      <c r="V192" s="36">
        <v>0</v>
      </c>
      <c r="W192" s="67">
        <v>0</v>
      </c>
      <c r="X192" s="67">
        <v>0</v>
      </c>
      <c r="Y192" s="36">
        <v>0</v>
      </c>
      <c r="Z192" s="36">
        <v>0</v>
      </c>
      <c r="AA192" s="36">
        <v>0</v>
      </c>
      <c r="AB192" s="36">
        <v>39207.07</v>
      </c>
      <c r="AC192" s="36">
        <v>84281.72</v>
      </c>
      <c r="AD192" s="36">
        <v>8.1999999999999993</v>
      </c>
      <c r="AE192" s="36">
        <v>73331.97</v>
      </c>
      <c r="AF192" s="68">
        <f t="shared" si="59"/>
        <v>8942.9231707317085</v>
      </c>
      <c r="AG192" s="68">
        <f t="shared" si="60"/>
        <v>10278.258536585367</v>
      </c>
      <c r="AH192" s="69">
        <f t="shared" si="61"/>
        <v>1335.34</v>
      </c>
      <c r="AI192" s="36">
        <v>4.2300000000000004</v>
      </c>
      <c r="AJ192" s="36">
        <v>36891.14</v>
      </c>
      <c r="AK192" s="68">
        <f t="shared" si="62"/>
        <v>8721.3096926713933</v>
      </c>
      <c r="AL192" s="68">
        <f t="shared" si="63"/>
        <v>9268.8108747044898</v>
      </c>
      <c r="AM192" s="69">
        <f t="shared" si="64"/>
        <v>547.5</v>
      </c>
      <c r="AN192" s="67">
        <v>0</v>
      </c>
      <c r="AO192" s="67">
        <v>0</v>
      </c>
    </row>
    <row r="193" spans="1:41" s="3" customFormat="1" ht="15">
      <c r="A193" s="58" t="s">
        <v>499</v>
      </c>
      <c r="B193" s="58" t="s">
        <v>92</v>
      </c>
      <c r="C193" s="58" t="str">
        <f t="shared" si="66"/>
        <v>14400 OAKVILLE SCHOOL DISTRICT</v>
      </c>
      <c r="D193" s="36">
        <v>0</v>
      </c>
      <c r="E193" s="36">
        <v>8540.6299999999992</v>
      </c>
      <c r="F193" s="36">
        <v>8110.58</v>
      </c>
      <c r="G193" s="36">
        <v>579071.1</v>
      </c>
      <c r="H193" s="36">
        <v>68431.259999999995</v>
      </c>
      <c r="I193" s="36">
        <v>93711.85</v>
      </c>
      <c r="J193" s="36">
        <v>165086.6</v>
      </c>
      <c r="K193" s="36">
        <v>0</v>
      </c>
      <c r="L193" s="36">
        <v>9038.7199999999993</v>
      </c>
      <c r="M193" s="36">
        <v>217855.99</v>
      </c>
      <c r="N193" s="50">
        <v>4.6899999999999997E-2</v>
      </c>
      <c r="O193" s="53">
        <v>0.2802</v>
      </c>
      <c r="P193" s="36">
        <v>0</v>
      </c>
      <c r="Q193" s="66">
        <v>0</v>
      </c>
      <c r="R193" s="66">
        <v>0</v>
      </c>
      <c r="S193" s="67">
        <v>0</v>
      </c>
      <c r="T193" s="67">
        <v>0</v>
      </c>
      <c r="U193" s="67">
        <v>0</v>
      </c>
      <c r="V193" s="36">
        <v>0</v>
      </c>
      <c r="W193" s="67">
        <v>0</v>
      </c>
      <c r="X193" s="67">
        <v>0</v>
      </c>
      <c r="Y193" s="36">
        <v>0</v>
      </c>
      <c r="Z193" s="36">
        <v>0</v>
      </c>
      <c r="AA193" s="36">
        <v>0</v>
      </c>
      <c r="AB193" s="36">
        <v>19376.97</v>
      </c>
      <c r="AC193" s="36">
        <v>262813.34999999998</v>
      </c>
      <c r="AD193" s="36">
        <v>26.56</v>
      </c>
      <c r="AE193" s="36">
        <v>234844.31</v>
      </c>
      <c r="AF193" s="68">
        <f t="shared" si="59"/>
        <v>8842.0297439759033</v>
      </c>
      <c r="AG193" s="68">
        <f t="shared" si="60"/>
        <v>9895.080948795181</v>
      </c>
      <c r="AH193" s="69">
        <f t="shared" si="61"/>
        <v>1053.05</v>
      </c>
      <c r="AI193" s="36">
        <v>2.1</v>
      </c>
      <c r="AJ193" s="36">
        <v>18154.88</v>
      </c>
      <c r="AK193" s="68">
        <f t="shared" si="62"/>
        <v>8645.1809523809534</v>
      </c>
      <c r="AL193" s="68">
        <f t="shared" si="63"/>
        <v>9227.1285714285714</v>
      </c>
      <c r="AM193" s="69">
        <f t="shared" si="64"/>
        <v>581.95000000000005</v>
      </c>
      <c r="AN193" s="67">
        <v>0</v>
      </c>
      <c r="AO193" s="67">
        <v>0</v>
      </c>
    </row>
    <row r="194" spans="1:41" s="3" customFormat="1" ht="15">
      <c r="A194" s="58" t="s">
        <v>584</v>
      </c>
      <c r="B194" s="58" t="s">
        <v>177</v>
      </c>
      <c r="C194" s="58" t="str">
        <f t="shared" si="66"/>
        <v>25101 OCEAN BEACH SCHOOL DISTRICT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309082.84000000003</v>
      </c>
      <c r="J194" s="36">
        <v>430638.11</v>
      </c>
      <c r="K194" s="36">
        <v>95236.22</v>
      </c>
      <c r="L194" s="36">
        <v>29297.94</v>
      </c>
      <c r="M194" s="36">
        <v>1215523.8999999999</v>
      </c>
      <c r="N194" s="50">
        <v>4.3799999999999999E-2</v>
      </c>
      <c r="O194" s="53">
        <v>0.1807</v>
      </c>
      <c r="P194" s="36">
        <v>0</v>
      </c>
      <c r="Q194" s="66">
        <v>0</v>
      </c>
      <c r="R194" s="66">
        <v>0</v>
      </c>
      <c r="S194" s="67">
        <v>0</v>
      </c>
      <c r="T194" s="67">
        <v>0</v>
      </c>
      <c r="U194" s="67">
        <v>0</v>
      </c>
      <c r="V194" s="36">
        <v>0</v>
      </c>
      <c r="W194" s="67">
        <v>0</v>
      </c>
      <c r="X194" s="67">
        <v>0</v>
      </c>
      <c r="Y194" s="36">
        <v>0</v>
      </c>
      <c r="Z194" s="36">
        <v>0</v>
      </c>
      <c r="AA194" s="36">
        <v>84715.22</v>
      </c>
      <c r="AB194" s="36">
        <v>0</v>
      </c>
      <c r="AC194" s="36">
        <v>1000512.85</v>
      </c>
      <c r="AD194" s="36">
        <v>108.14</v>
      </c>
      <c r="AE194" s="36">
        <v>956731.75</v>
      </c>
      <c r="AF194" s="68">
        <f t="shared" si="59"/>
        <v>8847.1587756611807</v>
      </c>
      <c r="AG194" s="68">
        <f t="shared" si="60"/>
        <v>9252.0145182171254</v>
      </c>
      <c r="AH194" s="69">
        <f t="shared" si="61"/>
        <v>404.86</v>
      </c>
      <c r="AI194" s="36">
        <v>0</v>
      </c>
      <c r="AJ194" s="36">
        <v>0</v>
      </c>
      <c r="AK194" s="68">
        <f t="shared" si="62"/>
        <v>0</v>
      </c>
      <c r="AL194" s="68">
        <f t="shared" si="63"/>
        <v>0</v>
      </c>
      <c r="AM194" s="69">
        <f t="shared" si="64"/>
        <v>0</v>
      </c>
      <c r="AN194" s="67">
        <v>0</v>
      </c>
      <c r="AO194" s="67">
        <v>0</v>
      </c>
    </row>
    <row r="195" spans="1:41" s="3" customFormat="1" ht="15">
      <c r="A195" s="58" t="s">
        <v>498</v>
      </c>
      <c r="B195" s="58" t="s">
        <v>91</v>
      </c>
      <c r="C195" s="58" t="str">
        <f t="shared" si="66"/>
        <v>14172 OCOSTA SCHOOL DISTRICT</v>
      </c>
      <c r="D195" s="36">
        <v>0</v>
      </c>
      <c r="E195" s="36">
        <v>0</v>
      </c>
      <c r="F195" s="36">
        <v>17017.38</v>
      </c>
      <c r="G195" s="36">
        <v>750085.09</v>
      </c>
      <c r="H195" s="36">
        <v>73920.98</v>
      </c>
      <c r="I195" s="36">
        <v>172255.24</v>
      </c>
      <c r="J195" s="36">
        <v>263058.07</v>
      </c>
      <c r="K195" s="36">
        <v>113609.76</v>
      </c>
      <c r="L195" s="36">
        <v>17454.09</v>
      </c>
      <c r="M195" s="36">
        <v>510491.66</v>
      </c>
      <c r="N195" s="50">
        <v>2.06E-2</v>
      </c>
      <c r="O195" s="53">
        <v>0.20619999999999999</v>
      </c>
      <c r="P195" s="36">
        <v>0</v>
      </c>
      <c r="Q195" s="66">
        <v>0</v>
      </c>
      <c r="R195" s="66">
        <v>0</v>
      </c>
      <c r="S195" s="67">
        <v>0</v>
      </c>
      <c r="T195" s="67">
        <v>0</v>
      </c>
      <c r="U195" s="67">
        <v>0</v>
      </c>
      <c r="V195" s="36">
        <v>0</v>
      </c>
      <c r="W195" s="67">
        <v>0</v>
      </c>
      <c r="X195" s="67">
        <v>0</v>
      </c>
      <c r="Y195" s="36">
        <v>0</v>
      </c>
      <c r="Z195" s="36">
        <v>7449.23</v>
      </c>
      <c r="AA195" s="36">
        <v>14186.24</v>
      </c>
      <c r="AB195" s="36">
        <v>41292.25</v>
      </c>
      <c r="AC195" s="36">
        <v>222418.45</v>
      </c>
      <c r="AD195" s="36">
        <v>22.19</v>
      </c>
      <c r="AE195" s="36">
        <v>196421.86</v>
      </c>
      <c r="AF195" s="68">
        <f t="shared" si="59"/>
        <v>8851.8188373141038</v>
      </c>
      <c r="AG195" s="68">
        <f t="shared" si="60"/>
        <v>10023.364127985578</v>
      </c>
      <c r="AH195" s="69">
        <f t="shared" si="61"/>
        <v>1171.55</v>
      </c>
      <c r="AI195" s="36">
        <v>4.51</v>
      </c>
      <c r="AJ195" s="36">
        <v>38975.07</v>
      </c>
      <c r="AK195" s="68">
        <f t="shared" si="62"/>
        <v>8641.9223946784932</v>
      </c>
      <c r="AL195" s="68">
        <f t="shared" si="63"/>
        <v>9155.7095343680721</v>
      </c>
      <c r="AM195" s="69">
        <f t="shared" si="64"/>
        <v>513.79</v>
      </c>
      <c r="AN195" s="67">
        <v>0</v>
      </c>
      <c r="AO195" s="67">
        <v>0</v>
      </c>
    </row>
    <row r="196" spans="1:41" s="3" customFormat="1" ht="15">
      <c r="A196" s="58" t="s">
        <v>565</v>
      </c>
      <c r="B196" s="58" t="s">
        <v>158</v>
      </c>
      <c r="C196" s="58" t="str">
        <f t="shared" si="66"/>
        <v>22105 ODESSA SCHOOL DISTRICT</v>
      </c>
      <c r="D196" s="36">
        <v>0</v>
      </c>
      <c r="E196" s="36">
        <v>0</v>
      </c>
      <c r="F196" s="36">
        <v>0</v>
      </c>
      <c r="G196" s="36">
        <v>361566.16</v>
      </c>
      <c r="H196" s="36">
        <v>65994.36</v>
      </c>
      <c r="I196" s="36">
        <v>0</v>
      </c>
      <c r="J196" s="36">
        <v>79023.92</v>
      </c>
      <c r="K196" s="36">
        <v>0</v>
      </c>
      <c r="L196" s="36">
        <v>6639.75</v>
      </c>
      <c r="M196" s="36">
        <v>383092.12</v>
      </c>
      <c r="N196" s="50">
        <v>2.0400000000000001E-2</v>
      </c>
      <c r="O196" s="53">
        <v>0.22850000000000001</v>
      </c>
      <c r="P196" s="36">
        <v>0</v>
      </c>
      <c r="Q196" s="66">
        <v>0</v>
      </c>
      <c r="R196" s="66">
        <v>0</v>
      </c>
      <c r="S196" s="67">
        <v>0</v>
      </c>
      <c r="T196" s="67">
        <v>0</v>
      </c>
      <c r="U196" s="67">
        <v>0</v>
      </c>
      <c r="V196" s="36">
        <v>0</v>
      </c>
      <c r="W196" s="67">
        <v>0</v>
      </c>
      <c r="X196" s="67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118454.35</v>
      </c>
      <c r="AD196" s="36">
        <v>12.52</v>
      </c>
      <c r="AE196" s="36">
        <v>114121.27</v>
      </c>
      <c r="AF196" s="68">
        <f t="shared" si="59"/>
        <v>9115.1174121405766</v>
      </c>
      <c r="AG196" s="68">
        <f t="shared" si="60"/>
        <v>9461.2100638977645</v>
      </c>
      <c r="AH196" s="69">
        <f t="shared" si="61"/>
        <v>346.09</v>
      </c>
      <c r="AI196" s="36">
        <v>0</v>
      </c>
      <c r="AJ196" s="36">
        <v>0</v>
      </c>
      <c r="AK196" s="68">
        <f t="shared" si="62"/>
        <v>0</v>
      </c>
      <c r="AL196" s="68">
        <f t="shared" si="63"/>
        <v>0</v>
      </c>
      <c r="AM196" s="69">
        <f t="shared" si="64"/>
        <v>0</v>
      </c>
      <c r="AN196" s="67">
        <v>0</v>
      </c>
      <c r="AO196" s="67">
        <v>0</v>
      </c>
    </row>
    <row r="197" spans="1:41" s="3" customFormat="1" ht="15">
      <c r="A197" s="58" t="s">
        <v>578</v>
      </c>
      <c r="B197" s="58" t="s">
        <v>171</v>
      </c>
      <c r="C197" s="58" t="str">
        <f t="shared" si="66"/>
        <v>24105 OKANOGAN SCHOOL DISTRICT</v>
      </c>
      <c r="D197" s="36">
        <v>0</v>
      </c>
      <c r="E197" s="36">
        <v>9269.4500000000007</v>
      </c>
      <c r="F197" s="36">
        <v>27718.84</v>
      </c>
      <c r="G197" s="36">
        <v>1766480.08</v>
      </c>
      <c r="H197" s="36">
        <v>223074.3</v>
      </c>
      <c r="I197" s="36">
        <v>328387.13</v>
      </c>
      <c r="J197" s="36">
        <v>529203.18999999994</v>
      </c>
      <c r="K197" s="36">
        <v>138838.16</v>
      </c>
      <c r="L197" s="36">
        <v>32130.58</v>
      </c>
      <c r="M197" s="36">
        <v>786383.32</v>
      </c>
      <c r="N197" s="50">
        <v>7.9000000000000008E-3</v>
      </c>
      <c r="O197" s="53">
        <v>0.18859999999999999</v>
      </c>
      <c r="P197" s="36">
        <v>0</v>
      </c>
      <c r="Q197" s="66">
        <v>0</v>
      </c>
      <c r="R197" s="66">
        <v>0</v>
      </c>
      <c r="S197" s="67">
        <v>147966.19</v>
      </c>
      <c r="T197" s="67">
        <v>14619.576000000001</v>
      </c>
      <c r="U197" s="67">
        <v>5806.01</v>
      </c>
      <c r="V197" s="36">
        <v>0</v>
      </c>
      <c r="W197" s="67">
        <v>0</v>
      </c>
      <c r="X197" s="67">
        <v>0</v>
      </c>
      <c r="Y197" s="36">
        <v>0</v>
      </c>
      <c r="Z197" s="36">
        <v>0</v>
      </c>
      <c r="AA197" s="36">
        <v>68981.67</v>
      </c>
      <c r="AB197" s="36">
        <v>87121.87</v>
      </c>
      <c r="AC197" s="36">
        <v>762944.92</v>
      </c>
      <c r="AD197" s="36">
        <v>81.22</v>
      </c>
      <c r="AE197" s="36">
        <v>725717.12</v>
      </c>
      <c r="AF197" s="68">
        <f t="shared" si="59"/>
        <v>8935.2021669539517</v>
      </c>
      <c r="AG197" s="68">
        <f t="shared" si="60"/>
        <v>9393.5597143560699</v>
      </c>
      <c r="AH197" s="69">
        <f t="shared" si="61"/>
        <v>458.36</v>
      </c>
      <c r="AI197" s="36">
        <v>9.42</v>
      </c>
      <c r="AJ197" s="36">
        <v>82137.149999999994</v>
      </c>
      <c r="AK197" s="68">
        <f t="shared" si="62"/>
        <v>8719.4426751592346</v>
      </c>
      <c r="AL197" s="68">
        <f t="shared" si="63"/>
        <v>9248.6061571125265</v>
      </c>
      <c r="AM197" s="69">
        <f t="shared" si="64"/>
        <v>529.16</v>
      </c>
      <c r="AN197" s="67">
        <v>0</v>
      </c>
      <c r="AO197" s="67">
        <v>0</v>
      </c>
    </row>
    <row r="198" spans="1:41" s="3" customFormat="1" ht="15">
      <c r="A198" s="58" t="s">
        <v>662</v>
      </c>
      <c r="B198" s="58" t="s">
        <v>259</v>
      </c>
      <c r="C198" s="58" t="str">
        <f t="shared" si="66"/>
        <v>34111 OLYMPIA SCHOOL DISTRICT</v>
      </c>
      <c r="D198" s="36">
        <v>0</v>
      </c>
      <c r="E198" s="36">
        <v>12743.45</v>
      </c>
      <c r="F198" s="36">
        <v>0</v>
      </c>
      <c r="G198" s="36">
        <v>16725678.85</v>
      </c>
      <c r="H198" s="36">
        <v>3461701.86</v>
      </c>
      <c r="I198" s="36">
        <v>198322.64</v>
      </c>
      <c r="J198" s="36">
        <v>2074809.58</v>
      </c>
      <c r="K198" s="36">
        <v>613282.14</v>
      </c>
      <c r="L198" s="36">
        <v>292055.62</v>
      </c>
      <c r="M198" s="36">
        <v>5567719.8799999999</v>
      </c>
      <c r="N198" s="50">
        <v>2.7300000000000001E-2</v>
      </c>
      <c r="O198" s="53">
        <v>0.1507</v>
      </c>
      <c r="P198" s="36">
        <v>0</v>
      </c>
      <c r="Q198" s="66">
        <v>0</v>
      </c>
      <c r="R198" s="66">
        <v>0</v>
      </c>
      <c r="S198" s="67">
        <v>184161.98</v>
      </c>
      <c r="T198" s="67">
        <v>4731.2799999999843</v>
      </c>
      <c r="U198" s="67">
        <v>5993.02</v>
      </c>
      <c r="V198" s="36">
        <v>0</v>
      </c>
      <c r="W198" s="67">
        <v>0</v>
      </c>
      <c r="X198" s="67">
        <v>0</v>
      </c>
      <c r="Y198" s="36">
        <v>0</v>
      </c>
      <c r="Z198" s="36">
        <v>84927.82</v>
      </c>
      <c r="AA198" s="36">
        <v>186071.58</v>
      </c>
      <c r="AB198" s="36">
        <v>1134087.96</v>
      </c>
      <c r="AC198" s="36">
        <v>5836636.6799999997</v>
      </c>
      <c r="AD198" s="36">
        <v>574.47</v>
      </c>
      <c r="AE198" s="36">
        <v>5183148.29</v>
      </c>
      <c r="AF198" s="68">
        <f t="shared" si="59"/>
        <v>9022.4873187459743</v>
      </c>
      <c r="AG198" s="68">
        <f t="shared" si="60"/>
        <v>10160.037390986474</v>
      </c>
      <c r="AH198" s="69">
        <f t="shared" si="61"/>
        <v>1137.55</v>
      </c>
      <c r="AI198" s="36">
        <v>121.17</v>
      </c>
      <c r="AJ198" s="36">
        <v>1067054.55</v>
      </c>
      <c r="AK198" s="68">
        <f t="shared" si="62"/>
        <v>8806.2602129239913</v>
      </c>
      <c r="AL198" s="68">
        <f t="shared" si="63"/>
        <v>9359.4780886358003</v>
      </c>
      <c r="AM198" s="69">
        <f t="shared" si="64"/>
        <v>553.22</v>
      </c>
      <c r="AN198" s="67">
        <v>25000</v>
      </c>
      <c r="AO198" s="67">
        <v>0</v>
      </c>
    </row>
    <row r="199" spans="1:41" s="3" customFormat="1" ht="15">
      <c r="A199" s="58" t="s">
        <v>577</v>
      </c>
      <c r="B199" s="58" t="s">
        <v>170</v>
      </c>
      <c r="C199" s="58" t="str">
        <f t="shared" si="66"/>
        <v>24019 OMAK SCHOOL DISTRICT</v>
      </c>
      <c r="D199" s="36">
        <v>0</v>
      </c>
      <c r="E199" s="36">
        <v>0</v>
      </c>
      <c r="F199" s="36">
        <v>0</v>
      </c>
      <c r="G199" s="36">
        <v>9219779.4299999997</v>
      </c>
      <c r="H199" s="36">
        <v>1401652.61</v>
      </c>
      <c r="I199" s="36">
        <v>887976.81</v>
      </c>
      <c r="J199" s="36">
        <v>2325757.44</v>
      </c>
      <c r="K199" s="36">
        <v>561413.91</v>
      </c>
      <c r="L199" s="36">
        <v>175164.25</v>
      </c>
      <c r="M199" s="36">
        <v>1080660.8700000001</v>
      </c>
      <c r="N199" s="50">
        <v>3.4700000000000002E-2</v>
      </c>
      <c r="O199" s="53">
        <v>8.9099999999999999E-2</v>
      </c>
      <c r="P199" s="36">
        <v>0</v>
      </c>
      <c r="Q199" s="66">
        <v>0</v>
      </c>
      <c r="R199" s="66">
        <v>0</v>
      </c>
      <c r="S199" s="67">
        <v>0</v>
      </c>
      <c r="T199" s="67">
        <v>0</v>
      </c>
      <c r="U199" s="67">
        <v>0</v>
      </c>
      <c r="V199" s="36">
        <v>0</v>
      </c>
      <c r="W199" s="67">
        <v>0</v>
      </c>
      <c r="X199" s="67">
        <v>0</v>
      </c>
      <c r="Y199" s="36">
        <v>0</v>
      </c>
      <c r="Z199" s="36">
        <v>0</v>
      </c>
      <c r="AA199" s="36">
        <v>132583.51999999999</v>
      </c>
      <c r="AB199" s="36">
        <v>128593.75</v>
      </c>
      <c r="AC199" s="36">
        <v>1359995.94</v>
      </c>
      <c r="AD199" s="36">
        <v>132.41</v>
      </c>
      <c r="AE199" s="36">
        <v>1171609.42</v>
      </c>
      <c r="AF199" s="68">
        <f t="shared" ref="AF199:AF262" si="67">IFERROR(AE199/AD199,0)</f>
        <v>8848.3454421871465</v>
      </c>
      <c r="AG199" s="68">
        <f t="shared" ref="AG199:AG262" si="68">IFERROR(AC199/AD199,0)</f>
        <v>10271.096896004834</v>
      </c>
      <c r="AH199" s="69">
        <f t="shared" ref="AH199:AH262" si="69">ROUND(AG199-AF199,2)</f>
        <v>1422.75</v>
      </c>
      <c r="AI199" s="36">
        <v>14.03</v>
      </c>
      <c r="AJ199" s="36">
        <v>121194.44</v>
      </c>
      <c r="AK199" s="68">
        <f t="shared" ref="AK199:AK262" si="70">IFERROR(AJ199/AI199,0)</f>
        <v>8638.2352102637215</v>
      </c>
      <c r="AL199" s="68">
        <f t="shared" ref="AL199:AL262" si="71">IFERROR(AB199/AI199,0)</f>
        <v>9165.6272273699215</v>
      </c>
      <c r="AM199" s="69">
        <f t="shared" ref="AM199:AM262" si="72">ROUND(AL199-AK199,2)</f>
        <v>527.39</v>
      </c>
      <c r="AN199" s="67">
        <v>0</v>
      </c>
      <c r="AO199" s="67">
        <v>0</v>
      </c>
    </row>
    <row r="200" spans="1:41" s="3" customFormat="1" ht="15">
      <c r="A200" s="58" t="s">
        <v>556</v>
      </c>
      <c r="B200" s="58" t="s">
        <v>149</v>
      </c>
      <c r="C200" s="58" t="str">
        <f t="shared" si="66"/>
        <v>21300 ONALASKA SCHOOL DISTRICT</v>
      </c>
      <c r="D200" s="36">
        <v>0</v>
      </c>
      <c r="E200" s="36">
        <v>0</v>
      </c>
      <c r="F200" s="36">
        <v>0</v>
      </c>
      <c r="G200" s="36">
        <v>1444965.13</v>
      </c>
      <c r="H200" s="36">
        <v>331804.73</v>
      </c>
      <c r="I200" s="36">
        <v>254642.69</v>
      </c>
      <c r="J200" s="36">
        <v>325913.57</v>
      </c>
      <c r="K200" s="36">
        <v>37359.54</v>
      </c>
      <c r="L200" s="36">
        <v>24830.52</v>
      </c>
      <c r="M200" s="36">
        <v>652320.99</v>
      </c>
      <c r="N200" s="50">
        <v>3.8699999999999998E-2</v>
      </c>
      <c r="O200" s="53">
        <v>0.18090000000000001</v>
      </c>
      <c r="P200" s="36">
        <v>0</v>
      </c>
      <c r="Q200" s="66">
        <v>0</v>
      </c>
      <c r="R200" s="66">
        <v>0</v>
      </c>
      <c r="S200" s="67">
        <v>0</v>
      </c>
      <c r="T200" s="67">
        <v>0</v>
      </c>
      <c r="U200" s="67">
        <v>0</v>
      </c>
      <c r="V200" s="36">
        <v>0</v>
      </c>
      <c r="W200" s="67">
        <v>0</v>
      </c>
      <c r="X200" s="67">
        <v>0</v>
      </c>
      <c r="Y200" s="36">
        <v>0</v>
      </c>
      <c r="Z200" s="36">
        <v>0</v>
      </c>
      <c r="AA200" s="36">
        <v>78328.509999999995</v>
      </c>
      <c r="AB200" s="36">
        <v>92049.600000000006</v>
      </c>
      <c r="AC200" s="36">
        <v>867430.57</v>
      </c>
      <c r="AD200" s="36">
        <v>92.35</v>
      </c>
      <c r="AE200" s="36">
        <v>817083.31</v>
      </c>
      <c r="AF200" s="68">
        <f t="shared" si="67"/>
        <v>8847.6806713589613</v>
      </c>
      <c r="AG200" s="68">
        <f t="shared" si="68"/>
        <v>9392.8594477531133</v>
      </c>
      <c r="AH200" s="69">
        <f t="shared" si="69"/>
        <v>545.17999999999995</v>
      </c>
      <c r="AI200" s="36">
        <v>10.050000000000001</v>
      </c>
      <c r="AJ200" s="36">
        <v>86641.04</v>
      </c>
      <c r="AK200" s="68">
        <f t="shared" si="70"/>
        <v>8620.9990049751232</v>
      </c>
      <c r="AL200" s="68">
        <f t="shared" si="71"/>
        <v>9159.1641791044767</v>
      </c>
      <c r="AM200" s="69">
        <f t="shared" si="72"/>
        <v>538.16999999999996</v>
      </c>
      <c r="AN200" s="67">
        <v>0</v>
      </c>
      <c r="AO200" s="67">
        <v>0</v>
      </c>
    </row>
    <row r="201" spans="1:41" s="3" customFormat="1" ht="15">
      <c r="A201" s="58" t="s">
        <v>649</v>
      </c>
      <c r="B201" s="60" t="s">
        <v>244</v>
      </c>
      <c r="C201" s="58" t="str">
        <f t="shared" si="66"/>
        <v>33030 ONION CREEK SCHOOL DISTRICT</v>
      </c>
      <c r="D201" s="36">
        <v>0</v>
      </c>
      <c r="E201" s="36">
        <v>0</v>
      </c>
      <c r="F201" s="36">
        <v>0</v>
      </c>
      <c r="G201" s="36">
        <v>65586.59</v>
      </c>
      <c r="H201" s="36">
        <v>4338.4799999999996</v>
      </c>
      <c r="I201" s="36">
        <v>11943.27</v>
      </c>
      <c r="J201" s="36">
        <v>20927.150000000001</v>
      </c>
      <c r="K201" s="36">
        <v>0</v>
      </c>
      <c r="L201" s="36">
        <v>1162.5999999999999</v>
      </c>
      <c r="M201" s="36">
        <v>117431.58</v>
      </c>
      <c r="N201" s="50">
        <v>7.0000000000000007E-2</v>
      </c>
      <c r="O201" s="53">
        <v>0.27239999999999998</v>
      </c>
      <c r="P201" s="36">
        <v>0</v>
      </c>
      <c r="Q201" s="66">
        <v>0</v>
      </c>
      <c r="R201" s="66">
        <v>0</v>
      </c>
      <c r="S201" s="67">
        <v>0</v>
      </c>
      <c r="T201" s="67">
        <v>0</v>
      </c>
      <c r="U201" s="67">
        <v>0</v>
      </c>
      <c r="V201" s="36">
        <v>0</v>
      </c>
      <c r="W201" s="67">
        <v>0</v>
      </c>
      <c r="X201" s="67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68">
        <f t="shared" si="67"/>
        <v>0</v>
      </c>
      <c r="AG201" s="68">
        <f t="shared" si="68"/>
        <v>0</v>
      </c>
      <c r="AH201" s="69">
        <f t="shared" si="69"/>
        <v>0</v>
      </c>
      <c r="AI201" s="36">
        <v>0</v>
      </c>
      <c r="AJ201" s="36">
        <v>0</v>
      </c>
      <c r="AK201" s="68">
        <f t="shared" si="70"/>
        <v>0</v>
      </c>
      <c r="AL201" s="68">
        <f t="shared" si="71"/>
        <v>0</v>
      </c>
      <c r="AM201" s="69">
        <f t="shared" si="72"/>
        <v>0</v>
      </c>
      <c r="AN201" s="67">
        <v>0</v>
      </c>
      <c r="AO201" s="67">
        <v>0</v>
      </c>
    </row>
    <row r="202" spans="1:41" s="3" customFormat="1" ht="15">
      <c r="A202" s="58" t="s">
        <v>608</v>
      </c>
      <c r="B202" s="58" t="s">
        <v>202</v>
      </c>
      <c r="C202" s="58" t="str">
        <f t="shared" si="66"/>
        <v>28137 ORCAS SCHOOL DISTRICT</v>
      </c>
      <c r="D202" s="36">
        <v>0</v>
      </c>
      <c r="E202" s="36">
        <v>14717.12</v>
      </c>
      <c r="F202" s="36">
        <v>0</v>
      </c>
      <c r="G202" s="36">
        <v>1356337.04</v>
      </c>
      <c r="H202" s="36">
        <v>123548.39</v>
      </c>
      <c r="I202" s="36">
        <v>0</v>
      </c>
      <c r="J202" s="36">
        <v>150889.57</v>
      </c>
      <c r="K202" s="36">
        <v>84101.7</v>
      </c>
      <c r="L202" s="36">
        <v>25014.39</v>
      </c>
      <c r="M202" s="36">
        <v>228847.7</v>
      </c>
      <c r="N202" s="50">
        <v>0.1045</v>
      </c>
      <c r="O202" s="53">
        <v>0.26690000000000003</v>
      </c>
      <c r="P202" s="36">
        <v>0</v>
      </c>
      <c r="Q202" s="66">
        <v>0</v>
      </c>
      <c r="R202" s="66">
        <v>0</v>
      </c>
      <c r="S202" s="67">
        <v>0</v>
      </c>
      <c r="T202" s="67">
        <v>0</v>
      </c>
      <c r="U202" s="67">
        <v>0</v>
      </c>
      <c r="V202" s="36">
        <v>0</v>
      </c>
      <c r="W202" s="67">
        <v>0</v>
      </c>
      <c r="X202" s="67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99638.89</v>
      </c>
      <c r="AD202" s="36">
        <v>10.029999999999999</v>
      </c>
      <c r="AE202" s="36">
        <v>96035.46</v>
      </c>
      <c r="AF202" s="68">
        <f t="shared" si="67"/>
        <v>9574.8215353938194</v>
      </c>
      <c r="AG202" s="68">
        <f t="shared" si="68"/>
        <v>9934.0867397806578</v>
      </c>
      <c r="AH202" s="69">
        <f t="shared" si="69"/>
        <v>359.27</v>
      </c>
      <c r="AI202" s="36">
        <v>0</v>
      </c>
      <c r="AJ202" s="36">
        <v>0</v>
      </c>
      <c r="AK202" s="68">
        <f t="shared" si="70"/>
        <v>0</v>
      </c>
      <c r="AL202" s="68">
        <f t="shared" si="71"/>
        <v>0</v>
      </c>
      <c r="AM202" s="69">
        <f t="shared" si="72"/>
        <v>0</v>
      </c>
      <c r="AN202" s="67">
        <v>0</v>
      </c>
      <c r="AO202" s="67">
        <v>0</v>
      </c>
    </row>
    <row r="203" spans="1:41" s="3" customFormat="1" ht="15">
      <c r="A203" s="58" t="s">
        <v>637</v>
      </c>
      <c r="B203" s="58" t="s">
        <v>231</v>
      </c>
      <c r="C203" s="58" t="str">
        <f t="shared" si="66"/>
        <v>32123 ORCHARD PRAIRIE SCHOOL DISTRICT</v>
      </c>
      <c r="D203" s="36">
        <v>0</v>
      </c>
      <c r="E203" s="36">
        <v>0</v>
      </c>
      <c r="F203" s="36">
        <v>0</v>
      </c>
      <c r="G203" s="36">
        <v>63715.75</v>
      </c>
      <c r="H203" s="36">
        <v>7071.15</v>
      </c>
      <c r="I203" s="36">
        <v>0</v>
      </c>
      <c r="J203" s="36">
        <v>5298.56</v>
      </c>
      <c r="K203" s="36">
        <v>0</v>
      </c>
      <c r="L203" s="36">
        <v>0</v>
      </c>
      <c r="M203" s="36">
        <v>41614.58</v>
      </c>
      <c r="N203" s="50">
        <v>0.11940000000000001</v>
      </c>
      <c r="O203" s="53">
        <v>0.22570000000000001</v>
      </c>
      <c r="P203" s="36">
        <v>0</v>
      </c>
      <c r="Q203" s="66">
        <v>0</v>
      </c>
      <c r="R203" s="66">
        <v>0</v>
      </c>
      <c r="S203" s="67">
        <v>0</v>
      </c>
      <c r="T203" s="67">
        <v>0</v>
      </c>
      <c r="U203" s="67">
        <v>0</v>
      </c>
      <c r="V203" s="36">
        <v>0</v>
      </c>
      <c r="W203" s="67">
        <v>0</v>
      </c>
      <c r="X203" s="67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68">
        <f t="shared" si="67"/>
        <v>0</v>
      </c>
      <c r="AG203" s="68">
        <f t="shared" si="68"/>
        <v>0</v>
      </c>
      <c r="AH203" s="69">
        <f t="shared" si="69"/>
        <v>0</v>
      </c>
      <c r="AI203" s="36">
        <v>0</v>
      </c>
      <c r="AJ203" s="36">
        <v>0</v>
      </c>
      <c r="AK203" s="68">
        <f t="shared" si="70"/>
        <v>0</v>
      </c>
      <c r="AL203" s="68">
        <f t="shared" si="71"/>
        <v>0</v>
      </c>
      <c r="AM203" s="69">
        <f t="shared" si="72"/>
        <v>0</v>
      </c>
      <c r="AN203" s="67">
        <v>0</v>
      </c>
      <c r="AO203" s="67">
        <v>0</v>
      </c>
    </row>
    <row r="204" spans="1:41" s="3" customFormat="1" ht="15">
      <c r="A204" s="58" t="s">
        <v>469</v>
      </c>
      <c r="B204" s="58" t="s">
        <v>62</v>
      </c>
      <c r="C204" s="58" t="str">
        <f t="shared" si="66"/>
        <v>10065 ORIENT SCHOOL DISTRICT</v>
      </c>
      <c r="D204" s="36">
        <v>0</v>
      </c>
      <c r="E204" s="36">
        <v>0</v>
      </c>
      <c r="F204" s="36">
        <v>0</v>
      </c>
      <c r="G204" s="36">
        <v>57013.1</v>
      </c>
      <c r="H204" s="36">
        <v>7035.57</v>
      </c>
      <c r="I204" s="36">
        <v>12260.35</v>
      </c>
      <c r="J204" s="36">
        <v>19236.07</v>
      </c>
      <c r="K204" s="36">
        <v>0</v>
      </c>
      <c r="L204" s="36">
        <v>1056.92</v>
      </c>
      <c r="M204" s="36">
        <v>291511.11</v>
      </c>
      <c r="N204" s="50">
        <v>5.2299999999999999E-2</v>
      </c>
      <c r="O204" s="53">
        <v>0.2266</v>
      </c>
      <c r="P204" s="36">
        <v>0</v>
      </c>
      <c r="Q204" s="66">
        <v>0</v>
      </c>
      <c r="R204" s="66">
        <v>0</v>
      </c>
      <c r="S204" s="67">
        <v>0</v>
      </c>
      <c r="T204" s="67">
        <v>0</v>
      </c>
      <c r="U204" s="67">
        <v>0</v>
      </c>
      <c r="V204" s="36">
        <v>0</v>
      </c>
      <c r="W204" s="67">
        <v>0</v>
      </c>
      <c r="X204" s="67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v>0</v>
      </c>
      <c r="AD204" s="36">
        <v>0</v>
      </c>
      <c r="AE204" s="36">
        <v>0</v>
      </c>
      <c r="AF204" s="68">
        <f t="shared" si="67"/>
        <v>0</v>
      </c>
      <c r="AG204" s="68">
        <f t="shared" si="68"/>
        <v>0</v>
      </c>
      <c r="AH204" s="69">
        <f t="shared" si="69"/>
        <v>0</v>
      </c>
      <c r="AI204" s="36">
        <v>0</v>
      </c>
      <c r="AJ204" s="36">
        <v>0</v>
      </c>
      <c r="AK204" s="68">
        <f t="shared" si="70"/>
        <v>0</v>
      </c>
      <c r="AL204" s="68">
        <f t="shared" si="71"/>
        <v>0</v>
      </c>
      <c r="AM204" s="69">
        <f t="shared" si="72"/>
        <v>0</v>
      </c>
      <c r="AN204" s="67">
        <v>0</v>
      </c>
      <c r="AO204" s="67">
        <v>0</v>
      </c>
    </row>
    <row r="205" spans="1:41" s="3" customFormat="1" ht="15">
      <c r="A205" s="58" t="s">
        <v>461</v>
      </c>
      <c r="B205" s="58" t="s">
        <v>54</v>
      </c>
      <c r="C205" s="58" t="str">
        <f t="shared" si="66"/>
        <v>09013 ORONDO SCHOOL DISTRICT</v>
      </c>
      <c r="D205" s="36">
        <v>0</v>
      </c>
      <c r="E205" s="36">
        <v>0</v>
      </c>
      <c r="F205" s="36">
        <v>2217.52</v>
      </c>
      <c r="G205" s="36">
        <v>0</v>
      </c>
      <c r="H205" s="36">
        <v>0</v>
      </c>
      <c r="I205" s="36">
        <v>35739.33</v>
      </c>
      <c r="J205" s="36">
        <v>69608.570000000007</v>
      </c>
      <c r="K205" s="36">
        <v>83497.55</v>
      </c>
      <c r="L205" s="36">
        <v>3220.7</v>
      </c>
      <c r="M205" s="36">
        <v>291838.90000000002</v>
      </c>
      <c r="N205" s="50">
        <v>0.10059999999999999</v>
      </c>
      <c r="O205" s="53">
        <v>0.21729999999999999</v>
      </c>
      <c r="P205" s="36">
        <v>0</v>
      </c>
      <c r="Q205" s="66">
        <v>0</v>
      </c>
      <c r="R205" s="66">
        <v>0</v>
      </c>
      <c r="S205" s="67">
        <v>0</v>
      </c>
      <c r="T205" s="67">
        <v>0</v>
      </c>
      <c r="U205" s="67">
        <v>0</v>
      </c>
      <c r="V205" s="36">
        <v>0</v>
      </c>
      <c r="W205" s="67">
        <v>0</v>
      </c>
      <c r="X205" s="67">
        <v>0</v>
      </c>
      <c r="Y205" s="36">
        <v>0</v>
      </c>
      <c r="Z205" s="36">
        <v>1009.53</v>
      </c>
      <c r="AA205" s="36">
        <v>0</v>
      </c>
      <c r="AB205" s="36">
        <v>16213.69</v>
      </c>
      <c r="AC205" s="36">
        <v>0</v>
      </c>
      <c r="AD205" s="36">
        <v>0</v>
      </c>
      <c r="AE205" s="36">
        <v>0</v>
      </c>
      <c r="AF205" s="68">
        <f t="shared" si="67"/>
        <v>0</v>
      </c>
      <c r="AG205" s="68">
        <f t="shared" si="68"/>
        <v>0</v>
      </c>
      <c r="AH205" s="69">
        <f t="shared" si="69"/>
        <v>0</v>
      </c>
      <c r="AI205" s="36">
        <v>1.76</v>
      </c>
      <c r="AJ205" s="36">
        <v>15317.99</v>
      </c>
      <c r="AK205" s="68">
        <f t="shared" si="70"/>
        <v>8703.4034090909081</v>
      </c>
      <c r="AL205" s="68">
        <f t="shared" si="71"/>
        <v>9212.323863636364</v>
      </c>
      <c r="AM205" s="69">
        <f t="shared" si="72"/>
        <v>508.92</v>
      </c>
      <c r="AN205" s="67">
        <v>0</v>
      </c>
      <c r="AO205" s="67">
        <v>0</v>
      </c>
    </row>
    <row r="206" spans="1:41" s="3" customFormat="1" ht="15">
      <c r="A206" s="58" t="s">
        <v>583</v>
      </c>
      <c r="B206" s="58" t="s">
        <v>176</v>
      </c>
      <c r="C206" s="58" t="str">
        <f t="shared" si="66"/>
        <v>24410 OROVILLE SCHOOL DISTRICT</v>
      </c>
      <c r="D206" s="36">
        <v>0</v>
      </c>
      <c r="E206" s="36">
        <v>0</v>
      </c>
      <c r="F206" s="36">
        <v>0</v>
      </c>
      <c r="G206" s="36">
        <v>757617.82</v>
      </c>
      <c r="H206" s="36">
        <v>81975.839999999997</v>
      </c>
      <c r="I206" s="36">
        <v>152827.18</v>
      </c>
      <c r="J206" s="36">
        <v>244045.57</v>
      </c>
      <c r="K206" s="36">
        <v>95950.73</v>
      </c>
      <c r="L206" s="36">
        <v>0</v>
      </c>
      <c r="M206" s="36">
        <v>246662.28</v>
      </c>
      <c r="N206" s="50">
        <v>3.3300000000000003E-2</v>
      </c>
      <c r="O206" s="53">
        <v>0.25059999999999999</v>
      </c>
      <c r="P206" s="36">
        <v>0</v>
      </c>
      <c r="Q206" s="66">
        <v>0</v>
      </c>
      <c r="R206" s="66">
        <v>0</v>
      </c>
      <c r="S206" s="67">
        <v>0</v>
      </c>
      <c r="T206" s="67">
        <v>0</v>
      </c>
      <c r="U206" s="67">
        <v>0</v>
      </c>
      <c r="V206" s="36">
        <v>0</v>
      </c>
      <c r="W206" s="67">
        <v>0</v>
      </c>
      <c r="X206" s="67">
        <v>0</v>
      </c>
      <c r="Y206" s="36">
        <v>0</v>
      </c>
      <c r="Z206" s="36">
        <v>0</v>
      </c>
      <c r="AA206" s="36">
        <v>0</v>
      </c>
      <c r="AB206" s="36">
        <v>21784.94</v>
      </c>
      <c r="AC206" s="36">
        <v>141874.95000000001</v>
      </c>
      <c r="AD206" s="36">
        <v>15.47</v>
      </c>
      <c r="AE206" s="36">
        <v>136821.43</v>
      </c>
      <c r="AF206" s="68">
        <f t="shared" si="67"/>
        <v>8844.3070458952807</v>
      </c>
      <c r="AG206" s="68">
        <f t="shared" si="68"/>
        <v>9170.9728506787342</v>
      </c>
      <c r="AH206" s="69">
        <f t="shared" si="69"/>
        <v>326.67</v>
      </c>
      <c r="AI206" s="36">
        <v>2.38</v>
      </c>
      <c r="AJ206" s="36">
        <v>20377.32</v>
      </c>
      <c r="AK206" s="68">
        <f t="shared" si="70"/>
        <v>8561.8991596638662</v>
      </c>
      <c r="AL206" s="68">
        <f t="shared" si="71"/>
        <v>9153.3361344537807</v>
      </c>
      <c r="AM206" s="69">
        <f t="shared" si="72"/>
        <v>591.44000000000005</v>
      </c>
      <c r="AN206" s="67">
        <v>0</v>
      </c>
      <c r="AO206" s="67">
        <v>0</v>
      </c>
    </row>
    <row r="207" spans="1:41" s="3" customFormat="1" ht="15">
      <c r="A207" s="58" t="s">
        <v>599</v>
      </c>
      <c r="B207" s="58" t="s">
        <v>193</v>
      </c>
      <c r="C207" s="58" t="str">
        <f t="shared" si="66"/>
        <v>27344 ORTING SCHOOL DISTRICT</v>
      </c>
      <c r="D207" s="36">
        <v>0</v>
      </c>
      <c r="E207" s="36">
        <v>0</v>
      </c>
      <c r="F207" s="36">
        <v>0</v>
      </c>
      <c r="G207" s="36">
        <v>5079168.5599999996</v>
      </c>
      <c r="H207" s="36">
        <v>882394.37</v>
      </c>
      <c r="I207" s="36">
        <v>0</v>
      </c>
      <c r="J207" s="36">
        <v>583217.68999999994</v>
      </c>
      <c r="K207" s="36">
        <v>226841.61</v>
      </c>
      <c r="L207" s="36">
        <v>87236.68</v>
      </c>
      <c r="M207" s="36">
        <v>2099781.19</v>
      </c>
      <c r="N207" s="50">
        <v>2.5899999999999999E-2</v>
      </c>
      <c r="O207" s="53">
        <v>0.18260000000000001</v>
      </c>
      <c r="P207" s="36">
        <v>0</v>
      </c>
      <c r="Q207" s="66">
        <v>0</v>
      </c>
      <c r="R207" s="66">
        <v>0</v>
      </c>
      <c r="S207" s="67">
        <v>0</v>
      </c>
      <c r="T207" s="67">
        <v>0</v>
      </c>
      <c r="U207" s="67">
        <v>0</v>
      </c>
      <c r="V207" s="36">
        <v>0</v>
      </c>
      <c r="W207" s="67">
        <v>0</v>
      </c>
      <c r="X207" s="67">
        <v>0</v>
      </c>
      <c r="Y207" s="36">
        <v>0</v>
      </c>
      <c r="Z207" s="36">
        <v>0</v>
      </c>
      <c r="AA207" s="36">
        <v>91093.74</v>
      </c>
      <c r="AB207" s="36">
        <v>481022.05</v>
      </c>
      <c r="AC207" s="36">
        <v>2411440.85</v>
      </c>
      <c r="AD207" s="36">
        <v>248.43</v>
      </c>
      <c r="AE207" s="36">
        <v>2288517.06</v>
      </c>
      <c r="AF207" s="68">
        <f t="shared" si="67"/>
        <v>9211.9190918971144</v>
      </c>
      <c r="AG207" s="68">
        <f t="shared" si="68"/>
        <v>9706.7216117216121</v>
      </c>
      <c r="AH207" s="69">
        <f t="shared" si="69"/>
        <v>494.8</v>
      </c>
      <c r="AI207" s="36">
        <v>50.34</v>
      </c>
      <c r="AJ207" s="36">
        <v>452744.93</v>
      </c>
      <c r="AK207" s="68">
        <f t="shared" si="70"/>
        <v>8993.7411601112435</v>
      </c>
      <c r="AL207" s="68">
        <f t="shared" si="71"/>
        <v>9555.4638458482314</v>
      </c>
      <c r="AM207" s="69">
        <f t="shared" si="72"/>
        <v>561.72</v>
      </c>
      <c r="AN207" s="67">
        <v>0</v>
      </c>
      <c r="AO207" s="67">
        <v>0</v>
      </c>
    </row>
    <row r="208" spans="1:41" s="3" customFormat="1" ht="15">
      <c r="A208" s="58" t="s">
        <v>421</v>
      </c>
      <c r="B208" s="58" t="s">
        <v>14</v>
      </c>
      <c r="C208" s="58" t="str">
        <f t="shared" si="66"/>
        <v>01147 OTHELLO SCHOOL DISTRICT</v>
      </c>
      <c r="D208" s="36">
        <v>377236.77</v>
      </c>
      <c r="E208" s="36">
        <v>127249.02</v>
      </c>
      <c r="F208" s="36">
        <v>60869.89</v>
      </c>
      <c r="G208" s="36">
        <v>6035305.2400000002</v>
      </c>
      <c r="H208" s="36">
        <v>1019741.44</v>
      </c>
      <c r="I208" s="36">
        <v>1388119.59</v>
      </c>
      <c r="J208" s="36">
        <v>2469442.0099999998</v>
      </c>
      <c r="K208" s="36">
        <v>3048885.84</v>
      </c>
      <c r="L208" s="36">
        <v>133295.22</v>
      </c>
      <c r="M208" s="36">
        <v>2842207.37</v>
      </c>
      <c r="N208" s="50">
        <v>6.4100000000000004E-2</v>
      </c>
      <c r="O208" s="53">
        <v>0.1477</v>
      </c>
      <c r="P208" s="36">
        <v>0</v>
      </c>
      <c r="Q208" s="66">
        <v>0</v>
      </c>
      <c r="R208" s="66">
        <v>0</v>
      </c>
      <c r="S208" s="67">
        <v>0</v>
      </c>
      <c r="T208" s="67">
        <v>0</v>
      </c>
      <c r="U208" s="67">
        <v>0</v>
      </c>
      <c r="V208" s="36">
        <v>0</v>
      </c>
      <c r="W208" s="67">
        <v>0</v>
      </c>
      <c r="X208" s="67">
        <v>0</v>
      </c>
      <c r="Y208" s="36">
        <v>0</v>
      </c>
      <c r="Z208" s="36">
        <v>0</v>
      </c>
      <c r="AA208" s="36">
        <v>74209.73</v>
      </c>
      <c r="AB208" s="36">
        <v>327706.05</v>
      </c>
      <c r="AC208" s="36">
        <v>2501787.5699999998</v>
      </c>
      <c r="AD208" s="36">
        <v>263.13</v>
      </c>
      <c r="AE208" s="36">
        <v>2328150.9900000002</v>
      </c>
      <c r="AF208" s="68">
        <f t="shared" si="67"/>
        <v>8847.911640633909</v>
      </c>
      <c r="AG208" s="68">
        <f t="shared" si="68"/>
        <v>9507.8005928628427</v>
      </c>
      <c r="AH208" s="69">
        <f t="shared" si="69"/>
        <v>659.89</v>
      </c>
      <c r="AI208" s="36">
        <v>35.74</v>
      </c>
      <c r="AJ208" s="36">
        <v>308418.21999999997</v>
      </c>
      <c r="AK208" s="68">
        <f t="shared" si="70"/>
        <v>8629.4969222160034</v>
      </c>
      <c r="AL208" s="68">
        <f t="shared" si="71"/>
        <v>9169.1675993284825</v>
      </c>
      <c r="AM208" s="69">
        <f t="shared" si="72"/>
        <v>539.66999999999996</v>
      </c>
      <c r="AN208" s="67">
        <v>3000</v>
      </c>
      <c r="AO208" s="67">
        <v>0</v>
      </c>
    </row>
    <row r="209" spans="1:41" s="3" customFormat="1" ht="15">
      <c r="A209" s="58" t="s">
        <v>463</v>
      </c>
      <c r="B209" s="58" t="s">
        <v>56</v>
      </c>
      <c r="C209" s="58" t="str">
        <f t="shared" si="66"/>
        <v>09102 PALISADES SCHOOL DISTRICT</v>
      </c>
      <c r="D209" s="36">
        <v>3694.71</v>
      </c>
      <c r="E209" s="36">
        <v>1315.12</v>
      </c>
      <c r="F209" s="36">
        <v>668.62</v>
      </c>
      <c r="G209" s="36">
        <v>0</v>
      </c>
      <c r="H209" s="36">
        <v>0</v>
      </c>
      <c r="I209" s="36">
        <v>8207.58</v>
      </c>
      <c r="J209" s="36">
        <v>16207.36</v>
      </c>
      <c r="K209" s="36">
        <v>11942.81</v>
      </c>
      <c r="L209" s="36">
        <v>727.26</v>
      </c>
      <c r="M209" s="36">
        <v>82462.11</v>
      </c>
      <c r="N209" s="76">
        <v>8.2000000000000003E-2</v>
      </c>
      <c r="O209" s="53">
        <v>0.72509999999999997</v>
      </c>
      <c r="P209" s="36">
        <v>0</v>
      </c>
      <c r="Q209" s="66">
        <v>0</v>
      </c>
      <c r="R209" s="66">
        <v>0</v>
      </c>
      <c r="S209" s="67">
        <v>0</v>
      </c>
      <c r="T209" s="67">
        <v>0</v>
      </c>
      <c r="U209" s="67">
        <v>0</v>
      </c>
      <c r="V209" s="36">
        <v>0</v>
      </c>
      <c r="W209" s="67">
        <v>0</v>
      </c>
      <c r="X209" s="67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0</v>
      </c>
      <c r="AD209" s="36">
        <v>0</v>
      </c>
      <c r="AE209" s="36">
        <v>0</v>
      </c>
      <c r="AF209" s="68">
        <f t="shared" si="67"/>
        <v>0</v>
      </c>
      <c r="AG209" s="68">
        <f t="shared" si="68"/>
        <v>0</v>
      </c>
      <c r="AH209" s="69">
        <f t="shared" si="69"/>
        <v>0</v>
      </c>
      <c r="AI209" s="36">
        <v>0</v>
      </c>
      <c r="AJ209" s="36">
        <v>0</v>
      </c>
      <c r="AK209" s="68">
        <f t="shared" si="70"/>
        <v>0</v>
      </c>
      <c r="AL209" s="68">
        <f t="shared" si="71"/>
        <v>0</v>
      </c>
      <c r="AM209" s="69">
        <f t="shared" si="72"/>
        <v>0</v>
      </c>
      <c r="AN209" s="67">
        <v>0</v>
      </c>
      <c r="AO209" s="67">
        <v>0</v>
      </c>
    </row>
    <row r="210" spans="1:41" s="3" customFormat="1" ht="15">
      <c r="A210" s="58" t="s">
        <v>687</v>
      </c>
      <c r="B210" s="58" t="s">
        <v>284</v>
      </c>
      <c r="C210" s="58" t="str">
        <f t="shared" si="66"/>
        <v>38301 PALOUSE SCHOOL DISTRICT</v>
      </c>
      <c r="D210" s="36">
        <v>0</v>
      </c>
      <c r="E210" s="36">
        <v>0</v>
      </c>
      <c r="F210" s="36">
        <v>0</v>
      </c>
      <c r="G210" s="36">
        <v>213031.18</v>
      </c>
      <c r="H210" s="36">
        <v>31072.51</v>
      </c>
      <c r="I210" s="36">
        <v>0</v>
      </c>
      <c r="J210" s="36">
        <v>41661.25</v>
      </c>
      <c r="K210" s="36">
        <v>0</v>
      </c>
      <c r="L210" s="36">
        <v>0</v>
      </c>
      <c r="M210" s="36">
        <v>0</v>
      </c>
      <c r="N210" s="50">
        <v>1.4E-3</v>
      </c>
      <c r="O210" s="53">
        <v>0.24840000000000001</v>
      </c>
      <c r="P210" s="36">
        <v>0</v>
      </c>
      <c r="Q210" s="66">
        <v>0</v>
      </c>
      <c r="R210" s="66">
        <v>0</v>
      </c>
      <c r="S210" s="67">
        <v>0</v>
      </c>
      <c r="T210" s="67">
        <v>0</v>
      </c>
      <c r="U210" s="67">
        <v>0</v>
      </c>
      <c r="V210" s="36">
        <v>0</v>
      </c>
      <c r="W210" s="67">
        <v>0</v>
      </c>
      <c r="X210" s="67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v>88686.16</v>
      </c>
      <c r="AD210" s="36">
        <v>9.39</v>
      </c>
      <c r="AE210" s="36">
        <v>82979.570000000007</v>
      </c>
      <c r="AF210" s="68">
        <f t="shared" si="67"/>
        <v>8837.0149094781682</v>
      </c>
      <c r="AG210" s="68">
        <f t="shared" si="68"/>
        <v>9444.7454739084133</v>
      </c>
      <c r="AH210" s="69">
        <f t="shared" si="69"/>
        <v>607.73</v>
      </c>
      <c r="AI210" s="36">
        <v>0</v>
      </c>
      <c r="AJ210" s="36">
        <v>0</v>
      </c>
      <c r="AK210" s="68">
        <f t="shared" si="70"/>
        <v>0</v>
      </c>
      <c r="AL210" s="68">
        <f t="shared" si="71"/>
        <v>0</v>
      </c>
      <c r="AM210" s="69">
        <f t="shared" si="72"/>
        <v>0</v>
      </c>
      <c r="AN210" s="67">
        <v>0</v>
      </c>
      <c r="AO210" s="67">
        <v>0</v>
      </c>
    </row>
    <row r="211" spans="1:41" s="3" customFormat="1" ht="15">
      <c r="A211" s="58" t="s">
        <v>817</v>
      </c>
      <c r="B211" s="60" t="s">
        <v>818</v>
      </c>
      <c r="C211" s="58" t="str">
        <f t="shared" si="66"/>
        <v>24915 PASCHAL SHERMAN SCHOOL DISTRICT</v>
      </c>
      <c r="D211" s="36">
        <v>0</v>
      </c>
      <c r="E211" s="36">
        <v>0</v>
      </c>
      <c r="F211" s="36">
        <v>0</v>
      </c>
      <c r="G211" s="36">
        <v>121054.77</v>
      </c>
      <c r="H211" s="36">
        <v>18385.419999999998</v>
      </c>
      <c r="I211" s="36">
        <v>44258.57</v>
      </c>
      <c r="J211" s="36">
        <v>96516.97</v>
      </c>
      <c r="K211" s="36">
        <v>0</v>
      </c>
      <c r="L211" s="36">
        <v>0</v>
      </c>
      <c r="M211" s="36">
        <v>0</v>
      </c>
      <c r="N211" s="76">
        <v>3.7100000000000001E-2</v>
      </c>
      <c r="O211" s="77">
        <v>0.14399999999999999</v>
      </c>
      <c r="P211" s="36">
        <v>0</v>
      </c>
      <c r="Q211" s="66">
        <v>0</v>
      </c>
      <c r="R211" s="66">
        <v>0</v>
      </c>
      <c r="S211" s="67">
        <v>0</v>
      </c>
      <c r="T211" s="67">
        <v>0</v>
      </c>
      <c r="U211" s="67">
        <v>0</v>
      </c>
      <c r="V211" s="36">
        <v>0</v>
      </c>
      <c r="W211" s="67">
        <v>0</v>
      </c>
      <c r="X211" s="67">
        <v>0</v>
      </c>
      <c r="Y211" s="36">
        <v>0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68">
        <f t="shared" si="67"/>
        <v>0</v>
      </c>
      <c r="AG211" s="68">
        <f t="shared" si="68"/>
        <v>0</v>
      </c>
      <c r="AH211" s="69">
        <f t="shared" si="69"/>
        <v>0</v>
      </c>
      <c r="AI211" s="36">
        <v>0</v>
      </c>
      <c r="AJ211" s="36">
        <v>0</v>
      </c>
      <c r="AK211" s="68">
        <f t="shared" si="70"/>
        <v>0</v>
      </c>
      <c r="AL211" s="68">
        <f t="shared" si="71"/>
        <v>0</v>
      </c>
      <c r="AM211" s="69">
        <f t="shared" si="72"/>
        <v>0</v>
      </c>
      <c r="AN211" s="67">
        <v>0</v>
      </c>
      <c r="AO211" s="67">
        <v>0</v>
      </c>
    </row>
    <row r="212" spans="1:41" s="3" customFormat="1" ht="15">
      <c r="A212" s="58" t="s">
        <v>472</v>
      </c>
      <c r="B212" s="58" t="s">
        <v>65</v>
      </c>
      <c r="C212" s="58" t="str">
        <f t="shared" si="66"/>
        <v>11001 PASCO SCHOOL DISTRICT</v>
      </c>
      <c r="D212" s="36">
        <v>0</v>
      </c>
      <c r="E212" s="36">
        <v>0</v>
      </c>
      <c r="F212" s="36">
        <v>29478.66</v>
      </c>
      <c r="G212" s="36">
        <v>27239537.420000002</v>
      </c>
      <c r="H212" s="36">
        <v>6051347.4699999997</v>
      </c>
      <c r="I212" s="36">
        <v>5145735.74</v>
      </c>
      <c r="J212" s="36">
        <v>8937532.8000000007</v>
      </c>
      <c r="K212" s="36">
        <v>10698915.9</v>
      </c>
      <c r="L212" s="36">
        <v>543570.22</v>
      </c>
      <c r="M212" s="36">
        <v>9427144.3599999994</v>
      </c>
      <c r="N212" s="50">
        <v>3.3099999999999997E-2</v>
      </c>
      <c r="O212" s="53">
        <v>0.1255</v>
      </c>
      <c r="P212" s="36">
        <v>0</v>
      </c>
      <c r="Q212" s="66">
        <v>0</v>
      </c>
      <c r="R212" s="66">
        <v>0</v>
      </c>
      <c r="S212" s="67">
        <v>0</v>
      </c>
      <c r="T212" s="67">
        <v>0</v>
      </c>
      <c r="U212" s="67">
        <v>0</v>
      </c>
      <c r="V212" s="36">
        <v>0</v>
      </c>
      <c r="W212" s="67">
        <v>0</v>
      </c>
      <c r="X212" s="67">
        <v>0</v>
      </c>
      <c r="Y212" s="36">
        <v>0</v>
      </c>
      <c r="Z212" s="36">
        <v>258502.02</v>
      </c>
      <c r="AA212" s="36">
        <v>1096783.75</v>
      </c>
      <c r="AB212" s="36">
        <v>1664891.2</v>
      </c>
      <c r="AC212" s="36">
        <v>9953588.3900000006</v>
      </c>
      <c r="AD212" s="36">
        <v>1048.3699999999999</v>
      </c>
      <c r="AE212" s="36">
        <v>9275561.6099999994</v>
      </c>
      <c r="AF212" s="68">
        <f t="shared" si="67"/>
        <v>8847.6030504497467</v>
      </c>
      <c r="AG212" s="68">
        <f t="shared" si="68"/>
        <v>9494.3468336560582</v>
      </c>
      <c r="AH212" s="69">
        <f t="shared" si="69"/>
        <v>646.74</v>
      </c>
      <c r="AI212" s="36">
        <v>181.59</v>
      </c>
      <c r="AJ212" s="36">
        <v>1567254.96</v>
      </c>
      <c r="AK212" s="68">
        <f t="shared" si="70"/>
        <v>8630.7338509829824</v>
      </c>
      <c r="AL212" s="68">
        <f t="shared" si="71"/>
        <v>9168.4079519797342</v>
      </c>
      <c r="AM212" s="69">
        <f t="shared" si="72"/>
        <v>537.66999999999996</v>
      </c>
      <c r="AN212" s="67">
        <v>0</v>
      </c>
      <c r="AO212" s="67">
        <v>0</v>
      </c>
    </row>
    <row r="213" spans="1:41" s="3" customFormat="1" ht="15">
      <c r="A213" s="58" t="s">
        <v>580</v>
      </c>
      <c r="B213" s="58" t="s">
        <v>173</v>
      </c>
      <c r="C213" s="58" t="str">
        <f t="shared" si="66"/>
        <v>24122 PATEROS SCHOOL DISTRICT</v>
      </c>
      <c r="D213" s="36">
        <v>0</v>
      </c>
      <c r="E213" s="36">
        <v>14166.2</v>
      </c>
      <c r="F213" s="36">
        <v>8327.94</v>
      </c>
      <c r="G213" s="36">
        <v>378191.65</v>
      </c>
      <c r="H213" s="36">
        <v>57643.76</v>
      </c>
      <c r="I213" s="36">
        <v>80643.509999999995</v>
      </c>
      <c r="J213" s="36">
        <v>128627.97</v>
      </c>
      <c r="K213" s="36">
        <v>43406.39</v>
      </c>
      <c r="L213" s="36">
        <v>6764.34</v>
      </c>
      <c r="M213" s="36">
        <v>254152.27</v>
      </c>
      <c r="N213" s="50">
        <v>8.6199999999999999E-2</v>
      </c>
      <c r="O213" s="53">
        <v>0.29799999999999999</v>
      </c>
      <c r="P213" s="36">
        <v>0</v>
      </c>
      <c r="Q213" s="66">
        <v>0</v>
      </c>
      <c r="R213" s="66">
        <v>0</v>
      </c>
      <c r="S213" s="67">
        <v>0</v>
      </c>
      <c r="T213" s="67">
        <v>0</v>
      </c>
      <c r="U213" s="67">
        <v>0</v>
      </c>
      <c r="V213" s="36">
        <v>0</v>
      </c>
      <c r="W213" s="67">
        <v>0</v>
      </c>
      <c r="X213" s="67">
        <v>0</v>
      </c>
      <c r="Y213" s="36">
        <v>0</v>
      </c>
      <c r="Z213" s="36">
        <v>0</v>
      </c>
      <c r="AA213" s="36">
        <v>0</v>
      </c>
      <c r="AB213" s="36">
        <v>28210.86</v>
      </c>
      <c r="AC213" s="36">
        <v>127059.46</v>
      </c>
      <c r="AD213" s="36">
        <v>12.37</v>
      </c>
      <c r="AE213" s="36">
        <v>110438.82</v>
      </c>
      <c r="AF213" s="68">
        <f t="shared" si="67"/>
        <v>8927.9563459983838</v>
      </c>
      <c r="AG213" s="68">
        <f t="shared" si="68"/>
        <v>10271.581244947454</v>
      </c>
      <c r="AH213" s="69">
        <f t="shared" si="69"/>
        <v>1343.62</v>
      </c>
      <c r="AI213" s="36">
        <v>3.04</v>
      </c>
      <c r="AJ213" s="36">
        <v>26576.52</v>
      </c>
      <c r="AK213" s="68">
        <f t="shared" si="70"/>
        <v>8742.2763157894733</v>
      </c>
      <c r="AL213" s="68">
        <f t="shared" si="71"/>
        <v>9279.8881578947367</v>
      </c>
      <c r="AM213" s="69">
        <f t="shared" si="72"/>
        <v>537.61</v>
      </c>
      <c r="AN213" s="67">
        <v>0</v>
      </c>
      <c r="AO213" s="67">
        <v>0</v>
      </c>
    </row>
    <row r="214" spans="1:41" s="3" customFormat="1" ht="15">
      <c r="A214" s="58" t="s">
        <v>427</v>
      </c>
      <c r="B214" s="58" t="s">
        <v>20</v>
      </c>
      <c r="C214" s="58" t="str">
        <f t="shared" si="66"/>
        <v>03050 PATERSON SCHOOL DISTRICT</v>
      </c>
      <c r="D214" s="36">
        <v>0</v>
      </c>
      <c r="E214" s="36">
        <v>0</v>
      </c>
      <c r="F214" s="36">
        <v>1896.54</v>
      </c>
      <c r="G214" s="36">
        <v>264588.56</v>
      </c>
      <c r="H214" s="36">
        <v>18958.189999999999</v>
      </c>
      <c r="I214" s="36">
        <v>42700.18</v>
      </c>
      <c r="J214" s="36">
        <v>91114.5</v>
      </c>
      <c r="K214" s="36">
        <v>26131.26</v>
      </c>
      <c r="L214" s="36">
        <v>4155.7299999999996</v>
      </c>
      <c r="M214" s="36">
        <v>341308.41</v>
      </c>
      <c r="N214" s="50">
        <v>3.6400000000000002E-2</v>
      </c>
      <c r="O214" s="53">
        <v>0.21809999999999999</v>
      </c>
      <c r="P214" s="36">
        <v>0</v>
      </c>
      <c r="Q214" s="66">
        <v>0</v>
      </c>
      <c r="R214" s="66">
        <v>0</v>
      </c>
      <c r="S214" s="67">
        <v>0</v>
      </c>
      <c r="T214" s="67">
        <v>0</v>
      </c>
      <c r="U214" s="67">
        <v>0</v>
      </c>
      <c r="V214" s="36">
        <v>0</v>
      </c>
      <c r="W214" s="67">
        <v>0</v>
      </c>
      <c r="X214" s="67">
        <v>0</v>
      </c>
      <c r="Y214" s="36">
        <v>0</v>
      </c>
      <c r="Z214" s="36">
        <v>8415.09</v>
      </c>
      <c r="AA214" s="36">
        <v>0</v>
      </c>
      <c r="AB214" s="36">
        <v>116329.85</v>
      </c>
      <c r="AC214" s="36">
        <v>0</v>
      </c>
      <c r="AD214" s="36">
        <v>0</v>
      </c>
      <c r="AE214" s="36">
        <v>0</v>
      </c>
      <c r="AF214" s="68">
        <f t="shared" si="67"/>
        <v>0</v>
      </c>
      <c r="AG214" s="68">
        <f t="shared" si="68"/>
        <v>0</v>
      </c>
      <c r="AH214" s="69">
        <f t="shared" si="69"/>
        <v>0</v>
      </c>
      <c r="AI214" s="36">
        <v>12.69</v>
      </c>
      <c r="AJ214" s="36">
        <v>109482.03</v>
      </c>
      <c r="AK214" s="68">
        <f t="shared" si="70"/>
        <v>8627.4255319148942</v>
      </c>
      <c r="AL214" s="68">
        <f t="shared" si="71"/>
        <v>9167.0488573680068</v>
      </c>
      <c r="AM214" s="69">
        <f t="shared" si="72"/>
        <v>539.62</v>
      </c>
      <c r="AN214" s="67">
        <v>0</v>
      </c>
      <c r="AO214" s="67">
        <v>0</v>
      </c>
    </row>
    <row r="215" spans="1:41" s="3" customFormat="1" ht="15">
      <c r="A215" s="58" t="s">
        <v>557</v>
      </c>
      <c r="B215" s="58" t="s">
        <v>150</v>
      </c>
      <c r="C215" s="58" t="str">
        <f t="shared" si="66"/>
        <v>21301 PE ELL SCHOOL DISTRICT</v>
      </c>
      <c r="D215" s="36">
        <v>0</v>
      </c>
      <c r="E215" s="36">
        <v>8993.49</v>
      </c>
      <c r="F215" s="36">
        <v>4714.91</v>
      </c>
      <c r="G215" s="36">
        <v>497926.77</v>
      </c>
      <c r="H215" s="36">
        <v>97323.3</v>
      </c>
      <c r="I215" s="36">
        <v>82983.8</v>
      </c>
      <c r="J215" s="36">
        <v>106954.5</v>
      </c>
      <c r="K215" s="36">
        <v>0</v>
      </c>
      <c r="L215" s="36">
        <v>7846.91</v>
      </c>
      <c r="M215" s="36">
        <v>186549.14</v>
      </c>
      <c r="N215" s="50">
        <v>5.16E-2</v>
      </c>
      <c r="O215" s="53">
        <v>0.21149999999999999</v>
      </c>
      <c r="P215" s="36">
        <v>0</v>
      </c>
      <c r="Q215" s="66">
        <v>0</v>
      </c>
      <c r="R215" s="66">
        <v>0</v>
      </c>
      <c r="S215" s="67">
        <v>0</v>
      </c>
      <c r="T215" s="67">
        <v>0</v>
      </c>
      <c r="U215" s="67">
        <v>0</v>
      </c>
      <c r="V215" s="36">
        <v>0</v>
      </c>
      <c r="W215" s="67">
        <v>0</v>
      </c>
      <c r="X215" s="67">
        <v>0</v>
      </c>
      <c r="Y215" s="36">
        <v>0</v>
      </c>
      <c r="Z215" s="36">
        <v>1901.9</v>
      </c>
      <c r="AA215" s="36">
        <v>0</v>
      </c>
      <c r="AB215" s="36">
        <v>86325.86</v>
      </c>
      <c r="AC215" s="36">
        <v>167487.12</v>
      </c>
      <c r="AD215" s="36">
        <v>17.440000000000001</v>
      </c>
      <c r="AE215" s="36">
        <v>157341.62</v>
      </c>
      <c r="AF215" s="68">
        <f t="shared" si="67"/>
        <v>9021.8818807339449</v>
      </c>
      <c r="AG215" s="68">
        <f t="shared" si="68"/>
        <v>9603.6192660550441</v>
      </c>
      <c r="AH215" s="69">
        <f t="shared" si="69"/>
        <v>581.74</v>
      </c>
      <c r="AI215" s="36">
        <v>9.2100000000000009</v>
      </c>
      <c r="AJ215" s="36">
        <v>81076.399999999994</v>
      </c>
      <c r="AK215" s="68">
        <f t="shared" si="70"/>
        <v>8803.0836047774137</v>
      </c>
      <c r="AL215" s="68">
        <f t="shared" si="71"/>
        <v>9373.0575461454937</v>
      </c>
      <c r="AM215" s="69">
        <f t="shared" si="72"/>
        <v>569.97</v>
      </c>
      <c r="AN215" s="67">
        <v>0</v>
      </c>
      <c r="AO215" s="67">
        <v>0</v>
      </c>
    </row>
    <row r="216" spans="1:41" s="3" customFormat="1" ht="15">
      <c r="A216" s="58" t="s">
        <v>601</v>
      </c>
      <c r="B216" s="58" t="s">
        <v>195</v>
      </c>
      <c r="C216" s="58" t="str">
        <f t="shared" si="66"/>
        <v>27401 PENINSULA SCHOOL DISTRICT</v>
      </c>
      <c r="D216" s="36">
        <v>0</v>
      </c>
      <c r="E216" s="36">
        <v>0</v>
      </c>
      <c r="F216" s="36">
        <v>0</v>
      </c>
      <c r="G216" s="36">
        <v>15238994.539999999</v>
      </c>
      <c r="H216" s="36">
        <v>2446028.4500000002</v>
      </c>
      <c r="I216" s="36">
        <v>0</v>
      </c>
      <c r="J216" s="36">
        <v>1397248.38</v>
      </c>
      <c r="K216" s="36">
        <v>459163.74</v>
      </c>
      <c r="L216" s="36">
        <v>293574.84000000003</v>
      </c>
      <c r="M216" s="36">
        <v>7114372.2199999997</v>
      </c>
      <c r="N216" s="50">
        <v>2.5999999999999999E-3</v>
      </c>
      <c r="O216" s="53">
        <v>0.1545</v>
      </c>
      <c r="P216" s="36">
        <v>0</v>
      </c>
      <c r="Q216" s="66">
        <v>0</v>
      </c>
      <c r="R216" s="66">
        <v>0</v>
      </c>
      <c r="S216" s="67">
        <v>0</v>
      </c>
      <c r="T216" s="67">
        <v>0</v>
      </c>
      <c r="U216" s="67">
        <v>0</v>
      </c>
      <c r="V216" s="36">
        <v>0</v>
      </c>
      <c r="W216" s="67">
        <v>0</v>
      </c>
      <c r="X216" s="67">
        <v>0</v>
      </c>
      <c r="Y216" s="36">
        <v>0</v>
      </c>
      <c r="Z216" s="36">
        <v>36735.96</v>
      </c>
      <c r="AA216" s="36">
        <v>294248.06</v>
      </c>
      <c r="AB216" s="36">
        <v>1152842.43</v>
      </c>
      <c r="AC216" s="36">
        <v>4426006.2699999996</v>
      </c>
      <c r="AD216" s="36">
        <v>423.39</v>
      </c>
      <c r="AE216" s="36">
        <v>4091871.26</v>
      </c>
      <c r="AF216" s="68">
        <f t="shared" si="67"/>
        <v>9664.5439429367725</v>
      </c>
      <c r="AG216" s="68">
        <f t="shared" si="68"/>
        <v>10453.733602588629</v>
      </c>
      <c r="AH216" s="69">
        <f t="shared" si="69"/>
        <v>789.19</v>
      </c>
      <c r="AI216" s="36">
        <v>114.89</v>
      </c>
      <c r="AJ216" s="36">
        <v>1085136.83</v>
      </c>
      <c r="AK216" s="68">
        <f t="shared" si="70"/>
        <v>9445.006789102621</v>
      </c>
      <c r="AL216" s="68">
        <f t="shared" si="71"/>
        <v>10034.314822874052</v>
      </c>
      <c r="AM216" s="69">
        <f t="shared" si="72"/>
        <v>589.30999999999995</v>
      </c>
      <c r="AN216" s="67">
        <v>0</v>
      </c>
      <c r="AO216" s="67">
        <v>0</v>
      </c>
    </row>
    <row r="217" spans="1:41" s="3" customFormat="1" ht="15">
      <c r="A217" s="58" t="s">
        <v>806</v>
      </c>
      <c r="B217" s="59" t="s">
        <v>814</v>
      </c>
      <c r="C217" s="59" t="str">
        <f>CONCATENATE(B217," ",A217," CHARTER")</f>
        <v>04901 PINNACLES PREP CHARTER</v>
      </c>
      <c r="D217" s="36">
        <v>0</v>
      </c>
      <c r="E217" s="36">
        <v>0</v>
      </c>
      <c r="F217" s="36">
        <v>0</v>
      </c>
      <c r="G217" s="36">
        <v>323662.71000000002</v>
      </c>
      <c r="H217" s="36">
        <v>41208.28</v>
      </c>
      <c r="I217" s="36">
        <v>0</v>
      </c>
      <c r="J217" s="36">
        <v>55677.16</v>
      </c>
      <c r="K217" s="36">
        <v>49635.82</v>
      </c>
      <c r="L217" s="36">
        <v>6630.74</v>
      </c>
      <c r="M217" s="36">
        <v>154987.95000000001</v>
      </c>
      <c r="N217" s="50">
        <v>3.7100000000000001E-2</v>
      </c>
      <c r="O217" s="53">
        <v>0.14399999999999999</v>
      </c>
      <c r="P217" s="36">
        <v>0</v>
      </c>
      <c r="Q217" s="66">
        <v>0</v>
      </c>
      <c r="R217" s="66">
        <v>0</v>
      </c>
      <c r="S217" s="67">
        <v>0</v>
      </c>
      <c r="T217" s="67">
        <v>0</v>
      </c>
      <c r="U217" s="67">
        <v>0</v>
      </c>
      <c r="V217" s="36">
        <v>0</v>
      </c>
      <c r="W217" s="67">
        <v>0</v>
      </c>
      <c r="X217" s="67">
        <v>0</v>
      </c>
      <c r="Y217" s="36">
        <v>0</v>
      </c>
      <c r="Z217" s="36">
        <v>0</v>
      </c>
      <c r="AA217" s="36">
        <v>0</v>
      </c>
      <c r="AB217" s="36">
        <v>10981.24</v>
      </c>
      <c r="AC217" s="36">
        <v>0</v>
      </c>
      <c r="AD217" s="36">
        <v>0</v>
      </c>
      <c r="AE217" s="36">
        <v>0</v>
      </c>
      <c r="AF217" s="68">
        <f t="shared" si="67"/>
        <v>0</v>
      </c>
      <c r="AG217" s="68">
        <f t="shared" si="68"/>
        <v>0</v>
      </c>
      <c r="AH217" s="69">
        <f t="shared" si="69"/>
        <v>0</v>
      </c>
      <c r="AI217" s="36">
        <v>1.18</v>
      </c>
      <c r="AJ217" s="36">
        <v>10450.11</v>
      </c>
      <c r="AK217" s="68">
        <f t="shared" si="70"/>
        <v>8856.0254237288136</v>
      </c>
      <c r="AL217" s="68">
        <f t="shared" si="71"/>
        <v>9306.1355932203387</v>
      </c>
      <c r="AM217" s="69">
        <f t="shared" si="72"/>
        <v>450.11</v>
      </c>
      <c r="AN217" s="67">
        <v>0</v>
      </c>
      <c r="AO217" s="67">
        <v>0</v>
      </c>
    </row>
    <row r="218" spans="1:41" s="3" customFormat="1" ht="15">
      <c r="A218" s="58" t="s">
        <v>573</v>
      </c>
      <c r="B218" s="58" t="s">
        <v>166</v>
      </c>
      <c r="C218" s="58" t="str">
        <f t="shared" ref="C218:C225" si="73">CONCATENATE(B218," ",A218," SCHOOL DISTRICT")</f>
        <v>23402 PIONEER SCHOOL DISTRICT</v>
      </c>
      <c r="D218" s="36">
        <v>0</v>
      </c>
      <c r="E218" s="36">
        <v>0</v>
      </c>
      <c r="F218" s="36">
        <v>0</v>
      </c>
      <c r="G218" s="36">
        <v>1447678.83</v>
      </c>
      <c r="H218" s="36">
        <v>181569.27</v>
      </c>
      <c r="I218" s="36">
        <v>233068.44</v>
      </c>
      <c r="J218" s="36">
        <v>279091.8</v>
      </c>
      <c r="K218" s="36">
        <v>76150.899999999994</v>
      </c>
      <c r="L218" s="36">
        <v>23175.67</v>
      </c>
      <c r="M218" s="36">
        <v>783508.67</v>
      </c>
      <c r="N218" s="50">
        <v>3.5299999999999998E-2</v>
      </c>
      <c r="O218" s="53">
        <v>0.2031</v>
      </c>
      <c r="P218" s="36">
        <v>0</v>
      </c>
      <c r="Q218" s="66">
        <v>0</v>
      </c>
      <c r="R218" s="66">
        <v>0</v>
      </c>
      <c r="S218" s="67">
        <v>0</v>
      </c>
      <c r="T218" s="67">
        <v>0</v>
      </c>
      <c r="U218" s="67">
        <v>0</v>
      </c>
      <c r="V218" s="36">
        <v>0</v>
      </c>
      <c r="W218" s="67">
        <v>0</v>
      </c>
      <c r="X218" s="67">
        <v>0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68">
        <f t="shared" si="67"/>
        <v>0</v>
      </c>
      <c r="AG218" s="68">
        <f t="shared" si="68"/>
        <v>0</v>
      </c>
      <c r="AH218" s="69">
        <f t="shared" si="69"/>
        <v>0</v>
      </c>
      <c r="AI218" s="36">
        <v>0</v>
      </c>
      <c r="AJ218" s="36">
        <v>0</v>
      </c>
      <c r="AK218" s="68">
        <f t="shared" si="70"/>
        <v>0</v>
      </c>
      <c r="AL218" s="68">
        <f t="shared" si="71"/>
        <v>0</v>
      </c>
      <c r="AM218" s="69">
        <f t="shared" si="72"/>
        <v>0</v>
      </c>
      <c r="AN218" s="67">
        <v>0</v>
      </c>
      <c r="AO218" s="67">
        <v>0</v>
      </c>
    </row>
    <row r="219" spans="1:41" s="3" customFormat="1" ht="15">
      <c r="A219" s="58" t="s">
        <v>476</v>
      </c>
      <c r="B219" s="58" t="s">
        <v>69</v>
      </c>
      <c r="C219" s="58" t="str">
        <f t="shared" si="73"/>
        <v>12110 POMEROY SCHOOL DISTRICT</v>
      </c>
      <c r="D219" s="36">
        <v>0</v>
      </c>
      <c r="E219" s="36">
        <v>0</v>
      </c>
      <c r="F219" s="36">
        <v>0</v>
      </c>
      <c r="G219" s="36">
        <v>526917.02</v>
      </c>
      <c r="H219" s="36">
        <v>99901.09</v>
      </c>
      <c r="I219" s="36">
        <v>43016.9</v>
      </c>
      <c r="J219" s="36">
        <v>119009.94</v>
      </c>
      <c r="K219" s="36">
        <v>5815.2</v>
      </c>
      <c r="L219" s="36">
        <v>9723.73</v>
      </c>
      <c r="M219" s="36">
        <v>426630.14</v>
      </c>
      <c r="N219" s="50">
        <v>5.9499999999999997E-2</v>
      </c>
      <c r="O219" s="53">
        <v>0.26469999999999999</v>
      </c>
      <c r="P219" s="36">
        <v>0</v>
      </c>
      <c r="Q219" s="66">
        <v>0</v>
      </c>
      <c r="R219" s="66">
        <v>0</v>
      </c>
      <c r="S219" s="67">
        <v>0</v>
      </c>
      <c r="T219" s="67">
        <v>0</v>
      </c>
      <c r="U219" s="67">
        <v>0</v>
      </c>
      <c r="V219" s="36">
        <v>0</v>
      </c>
      <c r="W219" s="67">
        <v>0</v>
      </c>
      <c r="X219" s="67">
        <v>0</v>
      </c>
      <c r="Y219" s="36">
        <v>0</v>
      </c>
      <c r="Z219" s="36">
        <v>0</v>
      </c>
      <c r="AA219" s="36">
        <v>0</v>
      </c>
      <c r="AB219" s="36">
        <v>100660.58</v>
      </c>
      <c r="AC219" s="36">
        <v>330623.52</v>
      </c>
      <c r="AD219" s="36">
        <v>35.53</v>
      </c>
      <c r="AE219" s="36">
        <v>317472.49</v>
      </c>
      <c r="AF219" s="68">
        <f t="shared" si="67"/>
        <v>8935.3360540388403</v>
      </c>
      <c r="AG219" s="68">
        <f t="shared" si="68"/>
        <v>9305.4748100197012</v>
      </c>
      <c r="AH219" s="69">
        <f t="shared" si="69"/>
        <v>370.14</v>
      </c>
      <c r="AI219" s="36">
        <v>10.86</v>
      </c>
      <c r="AJ219" s="36">
        <v>94648.42</v>
      </c>
      <c r="AK219" s="68">
        <f t="shared" si="70"/>
        <v>8715.3241252302032</v>
      </c>
      <c r="AL219" s="68">
        <f t="shared" si="71"/>
        <v>9268.9300184162075</v>
      </c>
      <c r="AM219" s="69">
        <f t="shared" si="72"/>
        <v>553.61</v>
      </c>
      <c r="AN219" s="67">
        <v>0</v>
      </c>
      <c r="AO219" s="67">
        <v>0</v>
      </c>
    </row>
    <row r="220" spans="1:41" s="3" customFormat="1" ht="15">
      <c r="A220" s="58" t="s">
        <v>439</v>
      </c>
      <c r="B220" s="58" t="s">
        <v>32</v>
      </c>
      <c r="C220" s="58" t="str">
        <f t="shared" si="73"/>
        <v>05121 PORT ANGELES SCHOOL DISTRICT</v>
      </c>
      <c r="D220" s="36">
        <v>0</v>
      </c>
      <c r="E220" s="36">
        <v>85983.17</v>
      </c>
      <c r="F220" s="36">
        <v>68717.02</v>
      </c>
      <c r="G220" s="36">
        <v>5954086.3700000001</v>
      </c>
      <c r="H220" s="36">
        <v>1342943.46</v>
      </c>
      <c r="I220" s="36">
        <v>800329.52</v>
      </c>
      <c r="J220" s="36">
        <v>1458545.47</v>
      </c>
      <c r="K220" s="36">
        <v>87557.08</v>
      </c>
      <c r="L220" s="36">
        <v>106208.95</v>
      </c>
      <c r="M220" s="36">
        <v>1933699.52</v>
      </c>
      <c r="N220" s="50">
        <v>1.9900000000000001E-2</v>
      </c>
      <c r="O220" s="53">
        <v>0.1459</v>
      </c>
      <c r="P220" s="36">
        <v>0</v>
      </c>
      <c r="Q220" s="66">
        <v>0</v>
      </c>
      <c r="R220" s="66">
        <v>0</v>
      </c>
      <c r="S220" s="67">
        <v>0</v>
      </c>
      <c r="T220" s="67">
        <v>0</v>
      </c>
      <c r="U220" s="67">
        <v>0</v>
      </c>
      <c r="V220" s="36">
        <v>0</v>
      </c>
      <c r="W220" s="67">
        <v>0</v>
      </c>
      <c r="X220" s="67">
        <v>0</v>
      </c>
      <c r="Y220" s="36">
        <v>0</v>
      </c>
      <c r="Z220" s="36">
        <v>0</v>
      </c>
      <c r="AA220" s="36">
        <v>96952.67</v>
      </c>
      <c r="AB220" s="36">
        <v>686297.38</v>
      </c>
      <c r="AC220" s="36">
        <v>2168049.38</v>
      </c>
      <c r="AD220" s="36">
        <v>221.83</v>
      </c>
      <c r="AE220" s="36">
        <v>2007173.51</v>
      </c>
      <c r="AF220" s="68">
        <f t="shared" si="67"/>
        <v>9048.2509579407651</v>
      </c>
      <c r="AG220" s="68">
        <f t="shared" si="68"/>
        <v>9773.4723887661712</v>
      </c>
      <c r="AH220" s="69">
        <f t="shared" si="69"/>
        <v>725.22</v>
      </c>
      <c r="AI220" s="36">
        <v>73.12</v>
      </c>
      <c r="AJ220" s="36">
        <v>645754.97</v>
      </c>
      <c r="AK220" s="68">
        <f t="shared" si="70"/>
        <v>8831.4410557986866</v>
      </c>
      <c r="AL220" s="68">
        <f t="shared" si="71"/>
        <v>9385.9050875273515</v>
      </c>
      <c r="AM220" s="69">
        <f t="shared" si="72"/>
        <v>554.46</v>
      </c>
      <c r="AN220" s="67">
        <v>0</v>
      </c>
      <c r="AO220" s="67">
        <v>0</v>
      </c>
    </row>
    <row r="221" spans="1:41" s="3" customFormat="1" ht="15">
      <c r="A221" s="58" t="s">
        <v>507</v>
      </c>
      <c r="B221" s="58" t="s">
        <v>100</v>
      </c>
      <c r="C221" s="58" t="str">
        <f t="shared" si="73"/>
        <v>16050 PORT TOWNSEND SCHOOL DISTRICT</v>
      </c>
      <c r="D221" s="36">
        <v>0</v>
      </c>
      <c r="E221" s="36">
        <v>35818.03</v>
      </c>
      <c r="F221" s="36">
        <v>4497.8599999999997</v>
      </c>
      <c r="G221" s="36">
        <v>1812673.6</v>
      </c>
      <c r="H221" s="36">
        <v>251638.68</v>
      </c>
      <c r="I221" s="36">
        <v>44750.52</v>
      </c>
      <c r="J221" s="36">
        <v>368445.92</v>
      </c>
      <c r="K221" s="36">
        <v>69558.67</v>
      </c>
      <c r="L221" s="36">
        <v>38210.050000000003</v>
      </c>
      <c r="M221" s="36">
        <v>784147.95</v>
      </c>
      <c r="N221" s="50">
        <v>3.2899999999999999E-2</v>
      </c>
      <c r="O221" s="53">
        <v>0.2006</v>
      </c>
      <c r="P221" s="36">
        <v>0</v>
      </c>
      <c r="Q221" s="66">
        <v>0</v>
      </c>
      <c r="R221" s="66">
        <v>0</v>
      </c>
      <c r="S221" s="67">
        <v>0</v>
      </c>
      <c r="T221" s="67">
        <v>0</v>
      </c>
      <c r="U221" s="67">
        <v>0</v>
      </c>
      <c r="V221" s="36">
        <v>0</v>
      </c>
      <c r="W221" s="67">
        <v>0</v>
      </c>
      <c r="X221" s="67">
        <v>0</v>
      </c>
      <c r="Y221" s="36">
        <v>0</v>
      </c>
      <c r="Z221" s="36">
        <v>0</v>
      </c>
      <c r="AA221" s="36">
        <v>14282.9</v>
      </c>
      <c r="AB221" s="36">
        <v>81525.289999999994</v>
      </c>
      <c r="AC221" s="36">
        <v>594317.21</v>
      </c>
      <c r="AD221" s="36">
        <v>57.03</v>
      </c>
      <c r="AE221" s="36">
        <v>546215.06000000006</v>
      </c>
      <c r="AF221" s="68">
        <f t="shared" si="67"/>
        <v>9577.679466947222</v>
      </c>
      <c r="AG221" s="68">
        <f t="shared" si="68"/>
        <v>10421.132912502191</v>
      </c>
      <c r="AH221" s="69">
        <f t="shared" si="69"/>
        <v>843.45</v>
      </c>
      <c r="AI221" s="36">
        <v>8.2100000000000009</v>
      </c>
      <c r="AJ221" s="36">
        <v>76797.2</v>
      </c>
      <c r="AK221" s="68">
        <f t="shared" si="70"/>
        <v>9354.1047503045047</v>
      </c>
      <c r="AL221" s="68">
        <f t="shared" si="71"/>
        <v>9929.9987819732014</v>
      </c>
      <c r="AM221" s="69">
        <f t="shared" si="72"/>
        <v>575.89</v>
      </c>
      <c r="AN221" s="67">
        <v>0</v>
      </c>
      <c r="AO221" s="67">
        <v>0</v>
      </c>
    </row>
    <row r="222" spans="1:41" s="3" customFormat="1" ht="15">
      <c r="A222" s="58" t="s">
        <v>674</v>
      </c>
      <c r="B222" s="58" t="s">
        <v>271</v>
      </c>
      <c r="C222" s="58" t="str">
        <f t="shared" si="73"/>
        <v>36402 PRESCOTT SCHOOL DISTRICT</v>
      </c>
      <c r="D222" s="36">
        <v>0</v>
      </c>
      <c r="E222" s="36">
        <v>0</v>
      </c>
      <c r="F222" s="36">
        <v>2977.13</v>
      </c>
      <c r="G222" s="36">
        <v>428889.21</v>
      </c>
      <c r="H222" s="36">
        <v>51677.78</v>
      </c>
      <c r="I222" s="36">
        <v>74283.77</v>
      </c>
      <c r="J222" s="36">
        <v>134645.82</v>
      </c>
      <c r="K222" s="36">
        <v>159645.70000000001</v>
      </c>
      <c r="L222" s="36">
        <v>0</v>
      </c>
      <c r="M222" s="36">
        <v>528352.81999999995</v>
      </c>
      <c r="N222" s="50">
        <v>2.86E-2</v>
      </c>
      <c r="O222" s="54">
        <v>0.22389999999999999</v>
      </c>
      <c r="P222" s="36">
        <v>0</v>
      </c>
      <c r="Q222" s="66">
        <v>0</v>
      </c>
      <c r="R222" s="66">
        <v>0</v>
      </c>
      <c r="S222" s="67">
        <v>0</v>
      </c>
      <c r="T222" s="67">
        <v>0</v>
      </c>
      <c r="U222" s="67">
        <v>0</v>
      </c>
      <c r="V222" s="36">
        <v>0</v>
      </c>
      <c r="W222" s="67">
        <v>0</v>
      </c>
      <c r="X222" s="67">
        <v>0</v>
      </c>
      <c r="Y222" s="36">
        <v>0</v>
      </c>
      <c r="Z222" s="36">
        <v>0</v>
      </c>
      <c r="AA222" s="36">
        <v>0</v>
      </c>
      <c r="AB222" s="36">
        <v>0</v>
      </c>
      <c r="AC222" s="36">
        <v>108131.27</v>
      </c>
      <c r="AD222" s="36">
        <v>11.79</v>
      </c>
      <c r="AE222" s="36">
        <v>104390.51</v>
      </c>
      <c r="AF222" s="68">
        <f t="shared" si="67"/>
        <v>8854.156912637829</v>
      </c>
      <c r="AG222" s="68">
        <f t="shared" si="68"/>
        <v>9171.4393553859209</v>
      </c>
      <c r="AH222" s="69">
        <f t="shared" si="69"/>
        <v>317.27999999999997</v>
      </c>
      <c r="AI222" s="36">
        <v>0</v>
      </c>
      <c r="AJ222" s="36">
        <v>0</v>
      </c>
      <c r="AK222" s="68">
        <f t="shared" si="70"/>
        <v>0</v>
      </c>
      <c r="AL222" s="68">
        <f t="shared" si="71"/>
        <v>0</v>
      </c>
      <c r="AM222" s="69">
        <f t="shared" si="72"/>
        <v>0</v>
      </c>
      <c r="AN222" s="67">
        <v>0</v>
      </c>
      <c r="AO222" s="67">
        <v>0</v>
      </c>
    </row>
    <row r="223" spans="1:41" s="3" customFormat="1" ht="15">
      <c r="A223" s="58" t="s">
        <v>780</v>
      </c>
      <c r="B223" s="58" t="s">
        <v>418</v>
      </c>
      <c r="C223" s="58" t="str">
        <f t="shared" si="73"/>
        <v>32907 PRIDE PREP SCHOOL DISTRICT</v>
      </c>
      <c r="D223" s="36">
        <v>0</v>
      </c>
      <c r="E223" s="36">
        <v>1414.32</v>
      </c>
      <c r="F223" s="36">
        <v>0</v>
      </c>
      <c r="G223" s="36">
        <v>655803.94999999995</v>
      </c>
      <c r="H223" s="36">
        <v>56155.17</v>
      </c>
      <c r="I223" s="36">
        <v>155769.74</v>
      </c>
      <c r="J223" s="36">
        <v>188291.94</v>
      </c>
      <c r="K223" s="36">
        <v>0</v>
      </c>
      <c r="L223" s="36">
        <v>13156.24</v>
      </c>
      <c r="M223" s="36">
        <v>585169.47</v>
      </c>
      <c r="N223" s="50">
        <v>8.0500000000000002E-2</v>
      </c>
      <c r="O223" s="53">
        <v>1</v>
      </c>
      <c r="P223" s="36">
        <v>0</v>
      </c>
      <c r="Q223" s="66">
        <v>0</v>
      </c>
      <c r="R223" s="66">
        <v>0</v>
      </c>
      <c r="S223" s="67">
        <v>0</v>
      </c>
      <c r="T223" s="67">
        <v>0</v>
      </c>
      <c r="U223" s="67">
        <v>0</v>
      </c>
      <c r="V223" s="36">
        <v>0</v>
      </c>
      <c r="W223" s="67">
        <v>0</v>
      </c>
      <c r="X223" s="67">
        <v>0</v>
      </c>
      <c r="Y223" s="36">
        <v>0</v>
      </c>
      <c r="Z223" s="36">
        <v>0</v>
      </c>
      <c r="AA223" s="36">
        <v>0</v>
      </c>
      <c r="AB223" s="36">
        <v>0</v>
      </c>
      <c r="AC223" s="36">
        <v>125878.18</v>
      </c>
      <c r="AD223" s="36">
        <v>12.49</v>
      </c>
      <c r="AE223" s="36">
        <v>111686.9</v>
      </c>
      <c r="AF223" s="68">
        <f t="shared" si="67"/>
        <v>8942.1056845476378</v>
      </c>
      <c r="AG223" s="68">
        <f t="shared" si="68"/>
        <v>10078.317053642913</v>
      </c>
      <c r="AH223" s="69">
        <f t="shared" si="69"/>
        <v>1136.21</v>
      </c>
      <c r="AI223" s="36">
        <v>0</v>
      </c>
      <c r="AJ223" s="36">
        <v>0</v>
      </c>
      <c r="AK223" s="68">
        <f t="shared" si="70"/>
        <v>0</v>
      </c>
      <c r="AL223" s="68">
        <f t="shared" si="71"/>
        <v>0</v>
      </c>
      <c r="AM223" s="69">
        <f t="shared" si="72"/>
        <v>0</v>
      </c>
      <c r="AN223" s="67">
        <v>0</v>
      </c>
      <c r="AO223" s="67">
        <v>0</v>
      </c>
    </row>
    <row r="224" spans="1:41" s="3" customFormat="1" ht="15">
      <c r="A224" s="58" t="s">
        <v>430</v>
      </c>
      <c r="B224" s="58" t="s">
        <v>23</v>
      </c>
      <c r="C224" s="58" t="str">
        <f t="shared" si="73"/>
        <v>03116 PROSSER SCHOOL DISTRICT</v>
      </c>
      <c r="D224" s="36">
        <v>0</v>
      </c>
      <c r="E224" s="36">
        <v>49275.53</v>
      </c>
      <c r="F224" s="36">
        <v>64396.03</v>
      </c>
      <c r="G224" s="36">
        <v>3680981.59</v>
      </c>
      <c r="H224" s="36">
        <v>823971.75</v>
      </c>
      <c r="I224" s="36">
        <v>722682.42</v>
      </c>
      <c r="J224" s="36">
        <v>1237266.3899999999</v>
      </c>
      <c r="K224" s="36">
        <v>1022589.91</v>
      </c>
      <c r="L224" s="36">
        <v>71478.64</v>
      </c>
      <c r="M224" s="36">
        <v>1920810.62</v>
      </c>
      <c r="N224" s="50">
        <v>4.5900000000000003E-2</v>
      </c>
      <c r="O224" s="53">
        <v>0.17230000000000001</v>
      </c>
      <c r="P224" s="36">
        <v>0</v>
      </c>
      <c r="Q224" s="66">
        <v>0</v>
      </c>
      <c r="R224" s="66">
        <v>0</v>
      </c>
      <c r="S224" s="67">
        <v>0</v>
      </c>
      <c r="T224" s="67">
        <v>0</v>
      </c>
      <c r="U224" s="67">
        <v>0</v>
      </c>
      <c r="V224" s="36">
        <v>0</v>
      </c>
      <c r="W224" s="67">
        <v>0</v>
      </c>
      <c r="X224" s="67">
        <v>0</v>
      </c>
      <c r="Y224" s="36">
        <v>0</v>
      </c>
      <c r="Z224" s="36">
        <v>15480.09</v>
      </c>
      <c r="AA224" s="36">
        <v>32097.98</v>
      </c>
      <c r="AB224" s="36">
        <v>197001.21</v>
      </c>
      <c r="AC224" s="36">
        <v>2072190.89</v>
      </c>
      <c r="AD224" s="36">
        <v>220.61</v>
      </c>
      <c r="AE224" s="36">
        <v>1951943.65</v>
      </c>
      <c r="AF224" s="68">
        <f t="shared" si="67"/>
        <v>8847.9382167626118</v>
      </c>
      <c r="AG224" s="68">
        <f t="shared" si="68"/>
        <v>9393.0052581478612</v>
      </c>
      <c r="AH224" s="69">
        <f t="shared" si="69"/>
        <v>545.07000000000005</v>
      </c>
      <c r="AI224" s="36">
        <v>21.49</v>
      </c>
      <c r="AJ224" s="36">
        <v>185363.55</v>
      </c>
      <c r="AK224" s="68">
        <f t="shared" si="70"/>
        <v>8625.572359236854</v>
      </c>
      <c r="AL224" s="68">
        <f t="shared" si="71"/>
        <v>9167.1107491856674</v>
      </c>
      <c r="AM224" s="69">
        <f t="shared" si="72"/>
        <v>541.54</v>
      </c>
      <c r="AN224" s="67">
        <v>0</v>
      </c>
      <c r="AO224" s="67">
        <v>0</v>
      </c>
    </row>
    <row r="225" spans="1:41" s="3" customFormat="1" ht="15">
      <c r="A225" s="58" t="s">
        <v>685</v>
      </c>
      <c r="B225" s="58" t="s">
        <v>282</v>
      </c>
      <c r="C225" s="58" t="str">
        <f t="shared" si="73"/>
        <v>38267 PULLMAN SCHOOL DISTRICT</v>
      </c>
      <c r="D225" s="36">
        <v>0</v>
      </c>
      <c r="E225" s="36">
        <v>0</v>
      </c>
      <c r="F225" s="36">
        <v>0</v>
      </c>
      <c r="G225" s="36">
        <v>4147422.71</v>
      </c>
      <c r="H225" s="36">
        <v>561071.18999999994</v>
      </c>
      <c r="I225" s="36">
        <v>96101.39</v>
      </c>
      <c r="J225" s="36">
        <v>641333.9</v>
      </c>
      <c r="K225" s="36">
        <v>261618.88</v>
      </c>
      <c r="L225" s="36">
        <v>78335.63</v>
      </c>
      <c r="M225" s="36">
        <v>1113597.4099999999</v>
      </c>
      <c r="N225" s="50">
        <v>3.7600000000000001E-2</v>
      </c>
      <c r="O225" s="53">
        <v>0.2011</v>
      </c>
      <c r="P225" s="36">
        <v>0</v>
      </c>
      <c r="Q225" s="66">
        <v>0</v>
      </c>
      <c r="R225" s="66">
        <v>0</v>
      </c>
      <c r="S225" s="67">
        <v>0</v>
      </c>
      <c r="T225" s="67">
        <v>0</v>
      </c>
      <c r="U225" s="67">
        <v>0</v>
      </c>
      <c r="V225" s="36">
        <v>0</v>
      </c>
      <c r="W225" s="67">
        <v>0</v>
      </c>
      <c r="X225" s="67">
        <v>0</v>
      </c>
      <c r="Y225" s="36">
        <v>0</v>
      </c>
      <c r="Z225" s="36">
        <v>0</v>
      </c>
      <c r="AA225" s="36">
        <v>0</v>
      </c>
      <c r="AB225" s="36">
        <v>287948.90000000002</v>
      </c>
      <c r="AC225" s="36">
        <v>1227316.45</v>
      </c>
      <c r="AD225" s="36">
        <v>132.13</v>
      </c>
      <c r="AE225" s="36">
        <v>1168955.1000000001</v>
      </c>
      <c r="AF225" s="68">
        <f t="shared" si="67"/>
        <v>8847.0074926209054</v>
      </c>
      <c r="AG225" s="68">
        <f t="shared" si="68"/>
        <v>9288.7039279497458</v>
      </c>
      <c r="AH225" s="69">
        <f t="shared" si="69"/>
        <v>441.7</v>
      </c>
      <c r="AI225" s="36">
        <v>31.39</v>
      </c>
      <c r="AJ225" s="36">
        <v>270773.8</v>
      </c>
      <c r="AK225" s="68">
        <f t="shared" si="70"/>
        <v>8626.11659764256</v>
      </c>
      <c r="AL225" s="68">
        <f t="shared" si="71"/>
        <v>9173.268556865245</v>
      </c>
      <c r="AM225" s="69">
        <f t="shared" si="72"/>
        <v>547.15</v>
      </c>
      <c r="AN225" s="67">
        <v>0</v>
      </c>
      <c r="AO225" s="67">
        <v>0</v>
      </c>
    </row>
    <row r="226" spans="1:41" s="3" customFormat="1" ht="15">
      <c r="A226" s="58" t="s">
        <v>808</v>
      </c>
      <c r="B226" s="59" t="s">
        <v>807</v>
      </c>
      <c r="C226" s="59" t="str">
        <f>CONCATENATE(B226," ",A226," CHARTER")</f>
        <v>38901 PULLMAN COMMUNITY MONTESSORI CHARTER</v>
      </c>
      <c r="D226" s="36">
        <v>0</v>
      </c>
      <c r="E226" s="36">
        <v>0</v>
      </c>
      <c r="F226" s="36">
        <v>0</v>
      </c>
      <c r="G226" s="36">
        <v>197601.57</v>
      </c>
      <c r="H226" s="36">
        <v>19800.580000000002</v>
      </c>
      <c r="I226" s="36">
        <v>0</v>
      </c>
      <c r="J226" s="36">
        <v>13506.15</v>
      </c>
      <c r="K226" s="36">
        <v>0</v>
      </c>
      <c r="L226" s="36">
        <v>0</v>
      </c>
      <c r="M226" s="36">
        <v>66085.72</v>
      </c>
      <c r="N226" s="50">
        <v>3.7100000000000001E-2</v>
      </c>
      <c r="O226" s="53">
        <v>0.14399999999999999</v>
      </c>
      <c r="P226" s="36">
        <v>0</v>
      </c>
      <c r="Q226" s="66">
        <v>0</v>
      </c>
      <c r="R226" s="66">
        <v>0</v>
      </c>
      <c r="S226" s="67">
        <v>0</v>
      </c>
      <c r="T226" s="67">
        <v>0</v>
      </c>
      <c r="U226" s="67">
        <v>0</v>
      </c>
      <c r="V226" s="36">
        <v>0</v>
      </c>
      <c r="W226" s="67">
        <v>0</v>
      </c>
      <c r="X226" s="67">
        <v>0</v>
      </c>
      <c r="Y226" s="36">
        <v>0</v>
      </c>
      <c r="Z226" s="36">
        <v>0</v>
      </c>
      <c r="AA226" s="36">
        <v>0</v>
      </c>
      <c r="AB226" s="36">
        <v>0</v>
      </c>
      <c r="AC226" s="36">
        <v>0</v>
      </c>
      <c r="AD226" s="36">
        <v>0</v>
      </c>
      <c r="AE226" s="36">
        <v>0</v>
      </c>
      <c r="AF226" s="68">
        <f t="shared" si="67"/>
        <v>0</v>
      </c>
      <c r="AG226" s="68">
        <f t="shared" si="68"/>
        <v>0</v>
      </c>
      <c r="AH226" s="69">
        <f t="shared" si="69"/>
        <v>0</v>
      </c>
      <c r="AI226" s="36">
        <v>0</v>
      </c>
      <c r="AJ226" s="36">
        <v>0</v>
      </c>
      <c r="AK226" s="68">
        <f t="shared" si="70"/>
        <v>0</v>
      </c>
      <c r="AL226" s="68">
        <f t="shared" si="71"/>
        <v>0</v>
      </c>
      <c r="AM226" s="69">
        <f t="shared" si="72"/>
        <v>0</v>
      </c>
      <c r="AN226" s="67">
        <v>0</v>
      </c>
      <c r="AO226" s="67">
        <v>0</v>
      </c>
    </row>
    <row r="227" spans="1:41" s="3" customFormat="1" ht="15">
      <c r="A227" s="58" t="s">
        <v>593</v>
      </c>
      <c r="B227" s="58" t="s">
        <v>187</v>
      </c>
      <c r="C227" s="58" t="str">
        <f>CONCATENATE(B227," ",A227," SCHOOL DISTRICT")</f>
        <v>27003 PUYALLUP SCHOOL DISTRICT</v>
      </c>
      <c r="D227" s="36">
        <v>0</v>
      </c>
      <c r="E227" s="36">
        <v>65683.17</v>
      </c>
      <c r="F227" s="36">
        <v>0</v>
      </c>
      <c r="G227" s="36">
        <v>35444716.270000003</v>
      </c>
      <c r="H227" s="36">
        <v>7860835.71</v>
      </c>
      <c r="I227" s="36">
        <v>942514.75</v>
      </c>
      <c r="J227" s="36">
        <v>7101677.6699999999</v>
      </c>
      <c r="K227" s="36">
        <v>3333404.1</v>
      </c>
      <c r="L227" s="36">
        <v>747104.15</v>
      </c>
      <c r="M227" s="36">
        <v>15258288.390000001</v>
      </c>
      <c r="N227" s="50">
        <v>3.6299999999999999E-2</v>
      </c>
      <c r="O227" s="53">
        <v>0.12379999999999999</v>
      </c>
      <c r="P227" s="36">
        <v>0</v>
      </c>
      <c r="Q227" s="66">
        <v>0</v>
      </c>
      <c r="R227" s="66">
        <v>0</v>
      </c>
      <c r="S227" s="67">
        <v>0</v>
      </c>
      <c r="T227" s="67">
        <v>0</v>
      </c>
      <c r="U227" s="67">
        <v>0</v>
      </c>
      <c r="V227" s="36">
        <v>0</v>
      </c>
      <c r="W227" s="67">
        <v>0</v>
      </c>
      <c r="X227" s="67">
        <v>0</v>
      </c>
      <c r="Y227" s="36">
        <v>0</v>
      </c>
      <c r="Z227" s="36">
        <v>281403.07</v>
      </c>
      <c r="AA227" s="36">
        <v>880476.15</v>
      </c>
      <c r="AB227" s="36">
        <v>3931008.71</v>
      </c>
      <c r="AC227" s="36">
        <v>13133665.08</v>
      </c>
      <c r="AD227" s="36">
        <v>1277.77</v>
      </c>
      <c r="AE227" s="36">
        <v>12237475.32</v>
      </c>
      <c r="AF227" s="68">
        <f t="shared" si="67"/>
        <v>9577.2128943393564</v>
      </c>
      <c r="AG227" s="68">
        <f t="shared" si="68"/>
        <v>10278.583062679512</v>
      </c>
      <c r="AH227" s="69">
        <f t="shared" si="69"/>
        <v>701.37</v>
      </c>
      <c r="AI227" s="36">
        <v>395.53</v>
      </c>
      <c r="AJ227" s="36">
        <v>3701229.87</v>
      </c>
      <c r="AK227" s="68">
        <f t="shared" si="70"/>
        <v>9357.646373220743</v>
      </c>
      <c r="AL227" s="68">
        <f t="shared" si="71"/>
        <v>9938.5854676004346</v>
      </c>
      <c r="AM227" s="69">
        <f t="shared" si="72"/>
        <v>580.94000000000005</v>
      </c>
      <c r="AN227" s="67">
        <v>0</v>
      </c>
      <c r="AO227" s="67">
        <v>0</v>
      </c>
    </row>
    <row r="228" spans="1:41" s="3" customFormat="1" ht="15">
      <c r="A228" s="58" t="s">
        <v>503</v>
      </c>
      <c r="B228" s="58" t="s">
        <v>96</v>
      </c>
      <c r="C228" s="58" t="str">
        <f>CONCATENATE(B228," ",A228," SCHOOL DISTRICT")</f>
        <v>16020 QUEETS-CLEARWATER SCHOOL DISTRICT</v>
      </c>
      <c r="D228" s="36">
        <v>0</v>
      </c>
      <c r="E228" s="36">
        <v>0</v>
      </c>
      <c r="F228" s="36">
        <v>0</v>
      </c>
      <c r="G228" s="36">
        <v>76647.570000000007</v>
      </c>
      <c r="H228" s="36">
        <v>5127.12</v>
      </c>
      <c r="I228" s="36">
        <v>11394.14</v>
      </c>
      <c r="J228" s="36">
        <v>24830.63</v>
      </c>
      <c r="K228" s="36">
        <v>0</v>
      </c>
      <c r="L228" s="36">
        <v>0</v>
      </c>
      <c r="M228" s="36">
        <v>59401.120000000003</v>
      </c>
      <c r="N228" s="50">
        <v>9.5600000000000004E-2</v>
      </c>
      <c r="O228" s="53">
        <v>0.51160000000000005</v>
      </c>
      <c r="P228" s="36">
        <v>0</v>
      </c>
      <c r="Q228" s="66">
        <v>0</v>
      </c>
      <c r="R228" s="66">
        <v>0</v>
      </c>
      <c r="S228" s="67">
        <v>0</v>
      </c>
      <c r="T228" s="67">
        <v>0</v>
      </c>
      <c r="U228" s="67">
        <v>0</v>
      </c>
      <c r="V228" s="36">
        <v>0</v>
      </c>
      <c r="W228" s="67">
        <v>0</v>
      </c>
      <c r="X228" s="67">
        <v>0</v>
      </c>
      <c r="Y228" s="36">
        <v>0</v>
      </c>
      <c r="Z228" s="36">
        <v>0</v>
      </c>
      <c r="AA228" s="36">
        <v>0</v>
      </c>
      <c r="AB228" s="36">
        <v>0</v>
      </c>
      <c r="AC228" s="36">
        <v>0</v>
      </c>
      <c r="AD228" s="36">
        <v>0</v>
      </c>
      <c r="AE228" s="36">
        <v>0</v>
      </c>
      <c r="AF228" s="68">
        <f t="shared" si="67"/>
        <v>0</v>
      </c>
      <c r="AG228" s="68">
        <f t="shared" si="68"/>
        <v>0</v>
      </c>
      <c r="AH228" s="69">
        <f t="shared" si="69"/>
        <v>0</v>
      </c>
      <c r="AI228" s="36">
        <v>0</v>
      </c>
      <c r="AJ228" s="36">
        <v>0</v>
      </c>
      <c r="AK228" s="68">
        <f t="shared" si="70"/>
        <v>0</v>
      </c>
      <c r="AL228" s="68">
        <f t="shared" si="71"/>
        <v>0</v>
      </c>
      <c r="AM228" s="69">
        <f t="shared" si="72"/>
        <v>0</v>
      </c>
      <c r="AN228" s="67">
        <v>0</v>
      </c>
      <c r="AO228" s="67">
        <v>0</v>
      </c>
    </row>
    <row r="229" spans="1:41" s="3" customFormat="1" ht="15">
      <c r="A229" s="58" t="s">
        <v>505</v>
      </c>
      <c r="B229" s="58" t="s">
        <v>98</v>
      </c>
      <c r="C229" s="58" t="str">
        <f>CONCATENATE(B229," ",A229," SCHOOL DISTRICT")</f>
        <v>16048 QUILCENE SCHOOL DISTRICT</v>
      </c>
      <c r="D229" s="36">
        <v>0</v>
      </c>
      <c r="E229" s="36">
        <v>0</v>
      </c>
      <c r="F229" s="36">
        <v>0</v>
      </c>
      <c r="G229" s="36">
        <v>777224.84</v>
      </c>
      <c r="H229" s="36">
        <v>81036.06</v>
      </c>
      <c r="I229" s="36">
        <v>64607.62</v>
      </c>
      <c r="J229" s="36">
        <v>217435.79</v>
      </c>
      <c r="K229" s="36">
        <v>0</v>
      </c>
      <c r="L229" s="36">
        <v>19896.09</v>
      </c>
      <c r="M229" s="36">
        <v>476182.96</v>
      </c>
      <c r="N229" s="50">
        <v>2.4400000000000002E-2</v>
      </c>
      <c r="O229" s="53">
        <v>0.19700000000000001</v>
      </c>
      <c r="P229" s="36">
        <v>0</v>
      </c>
      <c r="Q229" s="66">
        <v>0</v>
      </c>
      <c r="R229" s="66">
        <v>0</v>
      </c>
      <c r="S229" s="67">
        <v>0</v>
      </c>
      <c r="T229" s="67">
        <v>0</v>
      </c>
      <c r="U229" s="67">
        <v>0</v>
      </c>
      <c r="V229" s="36">
        <v>0</v>
      </c>
      <c r="W229" s="67">
        <v>0</v>
      </c>
      <c r="X229" s="67">
        <v>0</v>
      </c>
      <c r="Y229" s="36">
        <v>0</v>
      </c>
      <c r="Z229" s="36">
        <v>0</v>
      </c>
      <c r="AA229" s="36">
        <v>0</v>
      </c>
      <c r="AB229" s="36">
        <v>44150.48</v>
      </c>
      <c r="AC229" s="36">
        <v>111230.73</v>
      </c>
      <c r="AD229" s="36">
        <v>9.18</v>
      </c>
      <c r="AE229" s="36">
        <v>84523.48</v>
      </c>
      <c r="AF229" s="68">
        <f t="shared" si="67"/>
        <v>9207.3507625272323</v>
      </c>
      <c r="AG229" s="68">
        <f t="shared" si="68"/>
        <v>12116.637254901962</v>
      </c>
      <c r="AH229" s="69">
        <f t="shared" si="69"/>
        <v>2909.29</v>
      </c>
      <c r="AI229" s="36">
        <v>4.6100000000000003</v>
      </c>
      <c r="AJ229" s="36">
        <v>41297.57</v>
      </c>
      <c r="AK229" s="68">
        <f t="shared" si="70"/>
        <v>8958.2581344902374</v>
      </c>
      <c r="AL229" s="68">
        <f t="shared" si="71"/>
        <v>9577.1106290672451</v>
      </c>
      <c r="AM229" s="69">
        <f t="shared" si="72"/>
        <v>618.85</v>
      </c>
      <c r="AN229" s="67">
        <v>0</v>
      </c>
      <c r="AO229" s="67">
        <v>0</v>
      </c>
    </row>
    <row r="230" spans="1:41" s="3" customFormat="1" ht="15">
      <c r="A230" s="58" t="s">
        <v>804</v>
      </c>
      <c r="B230" s="58" t="s">
        <v>717</v>
      </c>
      <c r="C230" s="61" t="str">
        <f>CONCATENATE(B230," ",A230," TRIBAL COMPACT")</f>
        <v>05903 QUILEUTE TRIBAL COMPACT</v>
      </c>
      <c r="D230" s="36">
        <v>0</v>
      </c>
      <c r="E230" s="36">
        <v>2309.8200000000002</v>
      </c>
      <c r="F230" s="36">
        <v>913.38</v>
      </c>
      <c r="G230" s="36">
        <v>201486.17</v>
      </c>
      <c r="H230" s="36">
        <v>37819.71</v>
      </c>
      <c r="I230" s="36">
        <v>42076.82</v>
      </c>
      <c r="J230" s="36">
        <v>86127.62</v>
      </c>
      <c r="K230" s="36">
        <v>0</v>
      </c>
      <c r="L230" s="36">
        <v>0</v>
      </c>
      <c r="M230" s="36">
        <v>166289.60999999999</v>
      </c>
      <c r="N230" s="50">
        <v>0</v>
      </c>
      <c r="O230" s="53">
        <v>0</v>
      </c>
      <c r="P230" s="36">
        <v>0</v>
      </c>
      <c r="Q230" s="66">
        <v>0</v>
      </c>
      <c r="R230" s="66">
        <v>0</v>
      </c>
      <c r="S230" s="67">
        <v>0</v>
      </c>
      <c r="T230" s="67">
        <v>0</v>
      </c>
      <c r="U230" s="67">
        <v>0</v>
      </c>
      <c r="V230" s="36">
        <v>0</v>
      </c>
      <c r="W230" s="67">
        <v>0</v>
      </c>
      <c r="X230" s="67">
        <v>0</v>
      </c>
      <c r="Y230" s="36">
        <v>0</v>
      </c>
      <c r="Z230" s="36">
        <v>0</v>
      </c>
      <c r="AA230" s="36">
        <v>0</v>
      </c>
      <c r="AB230" s="36">
        <v>5807.03</v>
      </c>
      <c r="AC230" s="36">
        <v>27807.47</v>
      </c>
      <c r="AD230" s="36">
        <v>2.06</v>
      </c>
      <c r="AE230" s="36">
        <v>18171.73</v>
      </c>
      <c r="AF230" s="68">
        <f t="shared" si="67"/>
        <v>8821.2281553398061</v>
      </c>
      <c r="AG230" s="68">
        <f t="shared" si="68"/>
        <v>13498.771844660194</v>
      </c>
      <c r="AH230" s="69">
        <f t="shared" si="69"/>
        <v>4677.54</v>
      </c>
      <c r="AI230" s="36">
        <v>0.63</v>
      </c>
      <c r="AJ230" s="36">
        <v>5450.23</v>
      </c>
      <c r="AK230" s="68">
        <f t="shared" si="70"/>
        <v>8651.1587301587297</v>
      </c>
      <c r="AL230" s="68">
        <f t="shared" si="71"/>
        <v>9217.5079365079364</v>
      </c>
      <c r="AM230" s="69">
        <f t="shared" si="72"/>
        <v>566.35</v>
      </c>
      <c r="AN230" s="67">
        <v>0</v>
      </c>
      <c r="AO230" s="67">
        <v>0</v>
      </c>
    </row>
    <row r="231" spans="1:41" s="3" customFormat="1" ht="15">
      <c r="A231" s="58" t="s">
        <v>443</v>
      </c>
      <c r="B231" s="58" t="s">
        <v>36</v>
      </c>
      <c r="C231" s="58" t="str">
        <f>CONCATENATE(B231," ",A231," SCHOOL DISTRICT")</f>
        <v>05402 QUILLAYUTE VALLEY SCHOOL DISTRICT</v>
      </c>
      <c r="D231" s="36">
        <v>0</v>
      </c>
      <c r="E231" s="36">
        <v>144322.23999999999</v>
      </c>
      <c r="F231" s="36">
        <v>70572.42</v>
      </c>
      <c r="G231" s="36">
        <v>5325161.4400000004</v>
      </c>
      <c r="H231" s="36">
        <v>800423.67</v>
      </c>
      <c r="I231" s="36">
        <v>983766.52</v>
      </c>
      <c r="J231" s="36">
        <v>1311654.05</v>
      </c>
      <c r="K231" s="36">
        <v>563251.25</v>
      </c>
      <c r="L231" s="36">
        <v>105244</v>
      </c>
      <c r="M231" s="36">
        <v>688491.55</v>
      </c>
      <c r="N231" s="50">
        <v>1.4500000000000001E-2</v>
      </c>
      <c r="O231" s="53">
        <v>9.2799999999999994E-2</v>
      </c>
      <c r="P231" s="36">
        <v>0</v>
      </c>
      <c r="Q231" s="66">
        <v>0</v>
      </c>
      <c r="R231" s="66">
        <v>0</v>
      </c>
      <c r="S231" s="67">
        <v>0</v>
      </c>
      <c r="T231" s="67">
        <v>0</v>
      </c>
      <c r="U231" s="67">
        <v>0</v>
      </c>
      <c r="V231" s="36">
        <v>0</v>
      </c>
      <c r="W231" s="67">
        <v>0</v>
      </c>
      <c r="X231" s="67">
        <v>0</v>
      </c>
      <c r="Y231" s="36">
        <v>0</v>
      </c>
      <c r="Z231" s="36">
        <v>13728.08</v>
      </c>
      <c r="AA231" s="36">
        <v>0</v>
      </c>
      <c r="AB231" s="36">
        <v>142927.10999999999</v>
      </c>
      <c r="AC231" s="36">
        <v>424407.66</v>
      </c>
      <c r="AD231" s="36">
        <v>31.09</v>
      </c>
      <c r="AE231" s="36">
        <v>275090.15000000002</v>
      </c>
      <c r="AF231" s="68">
        <f t="shared" si="67"/>
        <v>8848.187520102927</v>
      </c>
      <c r="AG231" s="68">
        <f t="shared" si="68"/>
        <v>13650.937922161465</v>
      </c>
      <c r="AH231" s="69">
        <f t="shared" si="69"/>
        <v>4802.75</v>
      </c>
      <c r="AI231" s="36">
        <v>15.59</v>
      </c>
      <c r="AJ231" s="36">
        <v>134537.35</v>
      </c>
      <c r="AK231" s="68">
        <f t="shared" si="70"/>
        <v>8629.720974983964</v>
      </c>
      <c r="AL231" s="68">
        <f t="shared" si="71"/>
        <v>9167.8710711994863</v>
      </c>
      <c r="AM231" s="69">
        <f t="shared" si="72"/>
        <v>538.15</v>
      </c>
      <c r="AN231" s="67">
        <v>0</v>
      </c>
      <c r="AO231" s="67">
        <v>0</v>
      </c>
    </row>
    <row r="232" spans="1:41" s="3" customFormat="1" ht="15">
      <c r="A232" s="58" t="s">
        <v>494</v>
      </c>
      <c r="B232" s="58" t="s">
        <v>87</v>
      </c>
      <c r="C232" s="58" t="str">
        <f>CONCATENATE(B232," ",A232," SCHOOL DISTRICT")</f>
        <v>14097 QUINAULT SCHOOL DISTRICT</v>
      </c>
      <c r="D232" s="36">
        <v>0</v>
      </c>
      <c r="E232" s="36">
        <v>7379.87</v>
      </c>
      <c r="F232" s="36">
        <v>185.63</v>
      </c>
      <c r="G232" s="36">
        <v>0</v>
      </c>
      <c r="H232" s="36">
        <v>0</v>
      </c>
      <c r="I232" s="36">
        <v>61089.31</v>
      </c>
      <c r="J232" s="36">
        <v>132360.19</v>
      </c>
      <c r="K232" s="36">
        <v>79210.399999999994</v>
      </c>
      <c r="L232" s="36">
        <v>6233.6</v>
      </c>
      <c r="M232" s="36">
        <v>250142.28</v>
      </c>
      <c r="N232" s="50">
        <v>3.8699999999999998E-2</v>
      </c>
      <c r="O232" s="53">
        <v>0.25519999999999998</v>
      </c>
      <c r="P232" s="36">
        <v>0</v>
      </c>
      <c r="Q232" s="66">
        <v>0</v>
      </c>
      <c r="R232" s="66">
        <v>0</v>
      </c>
      <c r="S232" s="67">
        <v>0</v>
      </c>
      <c r="T232" s="67">
        <v>0</v>
      </c>
      <c r="U232" s="67">
        <v>0</v>
      </c>
      <c r="V232" s="36">
        <v>0</v>
      </c>
      <c r="W232" s="67">
        <v>0</v>
      </c>
      <c r="X232" s="67">
        <v>0</v>
      </c>
      <c r="Y232" s="36">
        <v>0</v>
      </c>
      <c r="Z232" s="36">
        <v>0</v>
      </c>
      <c r="AA232" s="36">
        <v>7783.82</v>
      </c>
      <c r="AB232" s="36">
        <v>9676.0499999999993</v>
      </c>
      <c r="AC232" s="36">
        <v>110021.35</v>
      </c>
      <c r="AD232" s="36">
        <v>8.34</v>
      </c>
      <c r="AE232" s="36">
        <v>73755.13</v>
      </c>
      <c r="AF232" s="68">
        <f t="shared" si="67"/>
        <v>8843.5407673860918</v>
      </c>
      <c r="AG232" s="68">
        <f t="shared" si="68"/>
        <v>13192.008393285372</v>
      </c>
      <c r="AH232" s="69">
        <f t="shared" si="69"/>
        <v>4348.47</v>
      </c>
      <c r="AI232" s="36">
        <v>1.06</v>
      </c>
      <c r="AJ232" s="36">
        <v>9218.61</v>
      </c>
      <c r="AK232" s="68">
        <f t="shared" si="70"/>
        <v>8696.8018867924529</v>
      </c>
      <c r="AL232" s="68">
        <f t="shared" si="71"/>
        <v>9128.3490566037726</v>
      </c>
      <c r="AM232" s="69">
        <f t="shared" si="72"/>
        <v>431.55</v>
      </c>
      <c r="AN232" s="67">
        <v>0</v>
      </c>
      <c r="AO232" s="67">
        <v>0</v>
      </c>
    </row>
    <row r="233" spans="1:41" s="3" customFormat="1" ht="15">
      <c r="A233" s="58" t="s">
        <v>478</v>
      </c>
      <c r="B233" s="58" t="s">
        <v>71</v>
      </c>
      <c r="C233" s="58" t="str">
        <f>CONCATENATE(B233," ",A233," SCHOOL DISTRICT")</f>
        <v>13144 QUINCY SCHOOL DISTRICT</v>
      </c>
      <c r="D233" s="36">
        <v>0</v>
      </c>
      <c r="E233" s="36">
        <v>88634.18</v>
      </c>
      <c r="F233" s="36">
        <v>0</v>
      </c>
      <c r="G233" s="36">
        <v>4567550.8</v>
      </c>
      <c r="H233" s="36">
        <v>736315.74</v>
      </c>
      <c r="I233" s="36">
        <v>950936.21</v>
      </c>
      <c r="J233" s="36">
        <v>1704994.42</v>
      </c>
      <c r="K233" s="36">
        <v>2105812.54</v>
      </c>
      <c r="L233" s="36">
        <v>94439.09</v>
      </c>
      <c r="M233" s="36">
        <v>1882877.21</v>
      </c>
      <c r="N233" s="50">
        <v>2.92E-2</v>
      </c>
      <c r="O233" s="53">
        <v>0.1515</v>
      </c>
      <c r="P233" s="36">
        <v>0</v>
      </c>
      <c r="Q233" s="66">
        <v>0</v>
      </c>
      <c r="R233" s="66">
        <v>0</v>
      </c>
      <c r="S233" s="67">
        <v>0</v>
      </c>
      <c r="T233" s="67">
        <v>0</v>
      </c>
      <c r="U233" s="67">
        <v>0</v>
      </c>
      <c r="V233" s="36">
        <v>0</v>
      </c>
      <c r="W233" s="67">
        <v>0</v>
      </c>
      <c r="X233" s="67">
        <v>0</v>
      </c>
      <c r="Y233" s="36">
        <v>0</v>
      </c>
      <c r="Z233" s="36">
        <v>0</v>
      </c>
      <c r="AA233" s="36">
        <v>25073.47</v>
      </c>
      <c r="AB233" s="36">
        <v>505831.71</v>
      </c>
      <c r="AC233" s="36">
        <v>2410133.17</v>
      </c>
      <c r="AD233" s="36">
        <v>257.79000000000002</v>
      </c>
      <c r="AE233" s="36">
        <v>2280869.11</v>
      </c>
      <c r="AF233" s="68">
        <f t="shared" si="67"/>
        <v>8847.7796268280363</v>
      </c>
      <c r="AG233" s="68">
        <f t="shared" si="68"/>
        <v>9349.2112572248716</v>
      </c>
      <c r="AH233" s="69">
        <f t="shared" si="69"/>
        <v>501.43</v>
      </c>
      <c r="AI233" s="36">
        <v>55.18</v>
      </c>
      <c r="AJ233" s="36">
        <v>476226.29</v>
      </c>
      <c r="AK233" s="68">
        <f t="shared" si="70"/>
        <v>8630.4148242116698</v>
      </c>
      <c r="AL233" s="68">
        <f t="shared" si="71"/>
        <v>9166.9392895976816</v>
      </c>
      <c r="AM233" s="69">
        <f t="shared" si="72"/>
        <v>536.52</v>
      </c>
      <c r="AN233" s="67">
        <v>0</v>
      </c>
      <c r="AO233" s="67">
        <v>0</v>
      </c>
    </row>
    <row r="234" spans="1:41" s="3" customFormat="1" ht="15">
      <c r="A234" s="58" t="s">
        <v>663</v>
      </c>
      <c r="B234" s="58" t="s">
        <v>260</v>
      </c>
      <c r="C234" s="58" t="str">
        <f>CONCATENATE(B234," ",A234," SCHOOL DISTRICT")</f>
        <v>34307 RAINIER SCHOOL DISTRICT</v>
      </c>
      <c r="D234" s="36">
        <v>0</v>
      </c>
      <c r="E234" s="36">
        <v>12181.6</v>
      </c>
      <c r="F234" s="36">
        <v>0</v>
      </c>
      <c r="G234" s="36">
        <v>1543890.02</v>
      </c>
      <c r="H234" s="36">
        <v>234495.05</v>
      </c>
      <c r="I234" s="36">
        <v>0</v>
      </c>
      <c r="J234" s="36">
        <v>257447.81</v>
      </c>
      <c r="K234" s="36">
        <v>0</v>
      </c>
      <c r="L234" s="36">
        <v>27739.52</v>
      </c>
      <c r="M234" s="36">
        <v>614416.22</v>
      </c>
      <c r="N234" s="50">
        <v>3.6400000000000002E-2</v>
      </c>
      <c r="O234" s="54">
        <v>0.2049</v>
      </c>
      <c r="P234" s="36">
        <v>0</v>
      </c>
      <c r="Q234" s="66">
        <v>0</v>
      </c>
      <c r="R234" s="66">
        <v>0</v>
      </c>
      <c r="S234" s="67">
        <v>0</v>
      </c>
      <c r="T234" s="67">
        <v>0</v>
      </c>
      <c r="U234" s="67">
        <v>0</v>
      </c>
      <c r="V234" s="36">
        <v>0</v>
      </c>
      <c r="W234" s="67">
        <v>0</v>
      </c>
      <c r="X234" s="67">
        <v>0</v>
      </c>
      <c r="Y234" s="36">
        <v>0</v>
      </c>
      <c r="Z234" s="36">
        <v>0</v>
      </c>
      <c r="AA234" s="36">
        <v>0</v>
      </c>
      <c r="AB234" s="36">
        <v>127041.71</v>
      </c>
      <c r="AC234" s="36">
        <v>701171.29</v>
      </c>
      <c r="AD234" s="36">
        <v>75.599999999999994</v>
      </c>
      <c r="AE234" s="36">
        <v>668866.66</v>
      </c>
      <c r="AF234" s="68">
        <f t="shared" si="67"/>
        <v>8847.4425925925934</v>
      </c>
      <c r="AG234" s="68">
        <f t="shared" si="68"/>
        <v>9274.752513227515</v>
      </c>
      <c r="AH234" s="69">
        <f t="shared" si="69"/>
        <v>427.31</v>
      </c>
      <c r="AI234" s="36">
        <v>13.86</v>
      </c>
      <c r="AJ234" s="36">
        <v>119453.85</v>
      </c>
      <c r="AK234" s="68">
        <f t="shared" si="70"/>
        <v>8618.6038961038976</v>
      </c>
      <c r="AL234" s="68">
        <f t="shared" si="71"/>
        <v>9166.0685425685442</v>
      </c>
      <c r="AM234" s="69">
        <f t="shared" si="72"/>
        <v>547.46</v>
      </c>
      <c r="AN234" s="67">
        <v>0</v>
      </c>
      <c r="AO234" s="67">
        <v>0</v>
      </c>
    </row>
    <row r="235" spans="1:41" s="3" customFormat="1" ht="15">
      <c r="A235" s="58" t="s">
        <v>779</v>
      </c>
      <c r="B235" s="58" t="s">
        <v>415</v>
      </c>
      <c r="C235" s="61" t="str">
        <f>CONCATENATE(B235," ",A235," CHARTER")</f>
        <v>17908 RAINIER PREP CHARTER</v>
      </c>
      <c r="D235" s="36">
        <v>20891.830000000002</v>
      </c>
      <c r="E235" s="36">
        <v>0</v>
      </c>
      <c r="F235" s="36">
        <v>0</v>
      </c>
      <c r="G235" s="36">
        <v>319893.63</v>
      </c>
      <c r="H235" s="36">
        <v>24333.200000000001</v>
      </c>
      <c r="I235" s="36">
        <v>117166.42</v>
      </c>
      <c r="J235" s="36">
        <v>194556.34</v>
      </c>
      <c r="K235" s="36">
        <v>240267.75</v>
      </c>
      <c r="L235" s="36">
        <v>0</v>
      </c>
      <c r="M235" s="36">
        <v>298828.42</v>
      </c>
      <c r="N235" s="50">
        <v>0.27050000000000002</v>
      </c>
      <c r="O235" s="53">
        <v>0.27739999999999998</v>
      </c>
      <c r="P235" s="36">
        <v>0</v>
      </c>
      <c r="Q235" s="66">
        <v>0</v>
      </c>
      <c r="R235" s="66">
        <v>0</v>
      </c>
      <c r="S235" s="67">
        <v>0</v>
      </c>
      <c r="T235" s="67">
        <v>0</v>
      </c>
      <c r="U235" s="67">
        <v>0</v>
      </c>
      <c r="V235" s="36">
        <v>0</v>
      </c>
      <c r="W235" s="67">
        <v>0</v>
      </c>
      <c r="X235" s="67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68">
        <f t="shared" si="67"/>
        <v>0</v>
      </c>
      <c r="AG235" s="68">
        <f t="shared" si="68"/>
        <v>0</v>
      </c>
      <c r="AH235" s="69">
        <f t="shared" si="69"/>
        <v>0</v>
      </c>
      <c r="AI235" s="36">
        <v>0</v>
      </c>
      <c r="AJ235" s="36">
        <v>0</v>
      </c>
      <c r="AK235" s="68">
        <f t="shared" si="70"/>
        <v>0</v>
      </c>
      <c r="AL235" s="68">
        <f t="shared" si="71"/>
        <v>0</v>
      </c>
      <c r="AM235" s="69">
        <f t="shared" si="72"/>
        <v>0</v>
      </c>
      <c r="AN235" s="67">
        <v>0</v>
      </c>
      <c r="AO235" s="67">
        <v>0</v>
      </c>
    </row>
    <row r="236" spans="1:41" s="3" customFormat="1" ht="15">
      <c r="A236" s="58" t="s">
        <v>767</v>
      </c>
      <c r="B236" s="58" t="s">
        <v>722</v>
      </c>
      <c r="C236" s="61" t="str">
        <f>CONCATENATE(B236," ",A236," CHARTER")</f>
        <v>17910 RAINIER VALLEY LEADERSHIP ACADEMY CHARTER</v>
      </c>
      <c r="D236" s="36">
        <v>0</v>
      </c>
      <c r="E236" s="36">
        <v>0</v>
      </c>
      <c r="F236" s="36">
        <v>0</v>
      </c>
      <c r="G236" s="36">
        <v>259247.47</v>
      </c>
      <c r="H236" s="36">
        <v>38497.54</v>
      </c>
      <c r="I236" s="36">
        <v>51072.54</v>
      </c>
      <c r="J236" s="36">
        <v>87003.58</v>
      </c>
      <c r="K236" s="36">
        <v>31051.79</v>
      </c>
      <c r="L236" s="36">
        <v>5407.69</v>
      </c>
      <c r="M236" s="36">
        <v>0</v>
      </c>
      <c r="N236" s="50">
        <v>0</v>
      </c>
      <c r="O236" s="53">
        <v>0.55630000000000002</v>
      </c>
      <c r="P236" s="36">
        <v>0</v>
      </c>
      <c r="Q236" s="66">
        <v>0</v>
      </c>
      <c r="R236" s="66">
        <v>0</v>
      </c>
      <c r="S236" s="67">
        <v>0</v>
      </c>
      <c r="T236" s="67">
        <v>0</v>
      </c>
      <c r="U236" s="67">
        <v>0</v>
      </c>
      <c r="V236" s="36">
        <v>0</v>
      </c>
      <c r="W236" s="67">
        <v>0</v>
      </c>
      <c r="X236" s="67">
        <v>0</v>
      </c>
      <c r="Y236" s="36">
        <v>0</v>
      </c>
      <c r="Z236" s="36">
        <v>0</v>
      </c>
      <c r="AA236" s="36">
        <v>0</v>
      </c>
      <c r="AB236" s="36">
        <v>3170.04</v>
      </c>
      <c r="AC236" s="36">
        <v>88832.48</v>
      </c>
      <c r="AD236" s="36">
        <v>8.19</v>
      </c>
      <c r="AE236" s="36">
        <v>81583.350000000006</v>
      </c>
      <c r="AF236" s="68">
        <f t="shared" si="67"/>
        <v>9961.3369963369969</v>
      </c>
      <c r="AG236" s="68">
        <f t="shared" si="68"/>
        <v>10846.456654456655</v>
      </c>
      <c r="AH236" s="69">
        <f t="shared" si="69"/>
        <v>885.12</v>
      </c>
      <c r="AI236" s="36">
        <v>0.31</v>
      </c>
      <c r="AJ236" s="36">
        <v>3026.46</v>
      </c>
      <c r="AK236" s="68">
        <f t="shared" si="70"/>
        <v>9762.7741935483864</v>
      </c>
      <c r="AL236" s="68">
        <f t="shared" si="71"/>
        <v>10225.935483870968</v>
      </c>
      <c r="AM236" s="69">
        <f t="shared" si="72"/>
        <v>463.16</v>
      </c>
      <c r="AN236" s="67">
        <v>0</v>
      </c>
      <c r="AO236" s="67">
        <v>0</v>
      </c>
    </row>
    <row r="237" spans="1:41" s="3" customFormat="1" ht="15">
      <c r="A237" s="58" t="s">
        <v>585</v>
      </c>
      <c r="B237" s="58" t="s">
        <v>178</v>
      </c>
      <c r="C237" s="58" t="str">
        <f t="shared" ref="C237:C270" si="74">CONCATENATE(B237," ",A237," SCHOOL DISTRICT")</f>
        <v>25116 RAYMOND SCHOOL DISTRICT</v>
      </c>
      <c r="D237" s="36">
        <v>0</v>
      </c>
      <c r="E237" s="36">
        <v>0</v>
      </c>
      <c r="F237" s="36">
        <v>0</v>
      </c>
      <c r="G237" s="36">
        <v>772036.91</v>
      </c>
      <c r="H237" s="36">
        <v>117709.71</v>
      </c>
      <c r="I237" s="36">
        <v>147320.82999999999</v>
      </c>
      <c r="J237" s="36">
        <v>230851.12</v>
      </c>
      <c r="K237" s="36">
        <v>83599.64</v>
      </c>
      <c r="L237" s="36">
        <v>14337.28</v>
      </c>
      <c r="M237" s="36">
        <v>508881.28</v>
      </c>
      <c r="N237" s="50">
        <v>3.1600000000000003E-2</v>
      </c>
      <c r="O237" s="53">
        <v>0.2044</v>
      </c>
      <c r="P237" s="36">
        <v>0</v>
      </c>
      <c r="Q237" s="66">
        <v>0</v>
      </c>
      <c r="R237" s="66">
        <v>0</v>
      </c>
      <c r="S237" s="67">
        <v>0</v>
      </c>
      <c r="T237" s="67">
        <v>0</v>
      </c>
      <c r="U237" s="67">
        <v>0</v>
      </c>
      <c r="V237" s="36">
        <v>0</v>
      </c>
      <c r="W237" s="67">
        <v>0</v>
      </c>
      <c r="X237" s="67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318795.13</v>
      </c>
      <c r="AD237" s="36">
        <v>34.76</v>
      </c>
      <c r="AE237" s="36">
        <v>307460.17</v>
      </c>
      <c r="AF237" s="68">
        <f t="shared" si="67"/>
        <v>8845.2292865362488</v>
      </c>
      <c r="AG237" s="68">
        <f t="shared" si="68"/>
        <v>9171.3213463751454</v>
      </c>
      <c r="AH237" s="69">
        <f t="shared" si="69"/>
        <v>326.08999999999997</v>
      </c>
      <c r="AI237" s="36">
        <v>0</v>
      </c>
      <c r="AJ237" s="36">
        <v>0</v>
      </c>
      <c r="AK237" s="68">
        <f t="shared" si="70"/>
        <v>0</v>
      </c>
      <c r="AL237" s="68">
        <f t="shared" si="71"/>
        <v>0</v>
      </c>
      <c r="AM237" s="69">
        <f t="shared" si="72"/>
        <v>0</v>
      </c>
      <c r="AN237" s="67">
        <v>0</v>
      </c>
      <c r="AO237" s="67">
        <v>0</v>
      </c>
    </row>
    <row r="238" spans="1:41" s="3" customFormat="1" ht="15">
      <c r="A238" s="58" t="s">
        <v>562</v>
      </c>
      <c r="B238" s="58" t="s">
        <v>155</v>
      </c>
      <c r="C238" s="58" t="str">
        <f t="shared" si="74"/>
        <v>22009 REARDAN SCHOOL DISTRICT</v>
      </c>
      <c r="D238" s="36">
        <v>0</v>
      </c>
      <c r="E238" s="36">
        <v>0</v>
      </c>
      <c r="F238" s="36">
        <v>0</v>
      </c>
      <c r="G238" s="36">
        <v>877579.52</v>
      </c>
      <c r="H238" s="36">
        <v>161593.9</v>
      </c>
      <c r="I238" s="36">
        <v>0</v>
      </c>
      <c r="J238" s="36">
        <v>223474.68</v>
      </c>
      <c r="K238" s="36">
        <v>0</v>
      </c>
      <c r="L238" s="36">
        <v>21298.15</v>
      </c>
      <c r="M238" s="36">
        <v>991197.12</v>
      </c>
      <c r="N238" s="50">
        <v>5.8700000000000002E-2</v>
      </c>
      <c r="O238" s="53">
        <v>0.26400000000000001</v>
      </c>
      <c r="P238" s="36">
        <v>0</v>
      </c>
      <c r="Q238" s="66">
        <v>0</v>
      </c>
      <c r="R238" s="66">
        <v>0</v>
      </c>
      <c r="S238" s="67">
        <v>0</v>
      </c>
      <c r="T238" s="67">
        <v>0</v>
      </c>
      <c r="U238" s="67">
        <v>0</v>
      </c>
      <c r="V238" s="36">
        <v>0</v>
      </c>
      <c r="W238" s="67">
        <v>0</v>
      </c>
      <c r="X238" s="67">
        <v>0</v>
      </c>
      <c r="Y238" s="36">
        <v>0</v>
      </c>
      <c r="Z238" s="36">
        <v>0</v>
      </c>
      <c r="AA238" s="36">
        <v>0</v>
      </c>
      <c r="AB238" s="36">
        <v>98316.96</v>
      </c>
      <c r="AC238" s="36">
        <v>335017.5</v>
      </c>
      <c r="AD238" s="36">
        <v>36.21</v>
      </c>
      <c r="AE238" s="36">
        <v>320278.96000000002</v>
      </c>
      <c r="AF238" s="68">
        <f t="shared" si="67"/>
        <v>8845.0417011875179</v>
      </c>
      <c r="AG238" s="68">
        <f t="shared" si="68"/>
        <v>9252.0712510356261</v>
      </c>
      <c r="AH238" s="69">
        <f t="shared" si="69"/>
        <v>407.03</v>
      </c>
      <c r="AI238" s="36">
        <v>10.73</v>
      </c>
      <c r="AJ238" s="36">
        <v>92605.82</v>
      </c>
      <c r="AK238" s="68">
        <f t="shared" si="70"/>
        <v>8630.5517241379312</v>
      </c>
      <c r="AL238" s="68">
        <f t="shared" si="71"/>
        <v>9162.8108108108117</v>
      </c>
      <c r="AM238" s="69">
        <f t="shared" si="72"/>
        <v>532.26</v>
      </c>
      <c r="AN238" s="67">
        <v>0</v>
      </c>
      <c r="AO238" s="67">
        <v>0</v>
      </c>
    </row>
    <row r="239" spans="1:41" s="3" customFormat="1" ht="15">
      <c r="A239" s="58" t="s">
        <v>514</v>
      </c>
      <c r="B239" s="58" t="s">
        <v>107</v>
      </c>
      <c r="C239" s="58" t="str">
        <f t="shared" si="74"/>
        <v>17403 RENTON SCHOOL DISTRICT</v>
      </c>
      <c r="D239" s="36">
        <v>0</v>
      </c>
      <c r="E239" s="36">
        <v>516763.83</v>
      </c>
      <c r="F239" s="36">
        <v>246495.72</v>
      </c>
      <c r="G239" s="36">
        <v>26768576.739999998</v>
      </c>
      <c r="H239" s="36">
        <v>5482678.3799999999</v>
      </c>
      <c r="I239" s="36">
        <v>2581626.7200000002</v>
      </c>
      <c r="J239" s="36">
        <v>5976448.4699999997</v>
      </c>
      <c r="K239" s="36">
        <v>6522767.8099999996</v>
      </c>
      <c r="L239" s="36">
        <v>496905.76</v>
      </c>
      <c r="M239" s="36">
        <v>9156762.1500000004</v>
      </c>
      <c r="N239" s="50">
        <v>3.0300000000000001E-2</v>
      </c>
      <c r="O239" s="53">
        <v>0.12909999999999999</v>
      </c>
      <c r="P239" s="36">
        <v>0</v>
      </c>
      <c r="Q239" s="66">
        <v>0</v>
      </c>
      <c r="R239" s="66">
        <v>0</v>
      </c>
      <c r="S239" s="67">
        <v>0</v>
      </c>
      <c r="T239" s="67">
        <v>0</v>
      </c>
      <c r="U239" s="67">
        <v>0</v>
      </c>
      <c r="V239" s="36">
        <v>0</v>
      </c>
      <c r="W239" s="67">
        <v>0</v>
      </c>
      <c r="X239" s="67">
        <v>0</v>
      </c>
      <c r="Y239" s="36">
        <v>0</v>
      </c>
      <c r="Z239" s="36">
        <v>128359.05</v>
      </c>
      <c r="AA239" s="36">
        <v>345036.1</v>
      </c>
      <c r="AB239" s="36">
        <v>1906009.56</v>
      </c>
      <c r="AC239" s="36">
        <v>15583519.82</v>
      </c>
      <c r="AD239" s="36">
        <v>1450.94</v>
      </c>
      <c r="AE239" s="36">
        <v>14425290.390000001</v>
      </c>
      <c r="AF239" s="68">
        <f t="shared" si="67"/>
        <v>9942.0309523481337</v>
      </c>
      <c r="AG239" s="68">
        <f t="shared" si="68"/>
        <v>10740.292375976953</v>
      </c>
      <c r="AH239" s="69">
        <f t="shared" si="69"/>
        <v>798.26</v>
      </c>
      <c r="AI239" s="36">
        <v>184.62</v>
      </c>
      <c r="AJ239" s="36">
        <v>1794655.67</v>
      </c>
      <c r="AK239" s="68">
        <f t="shared" si="70"/>
        <v>9720.8085256201921</v>
      </c>
      <c r="AL239" s="68">
        <f t="shared" si="71"/>
        <v>10323.960350991225</v>
      </c>
      <c r="AM239" s="69">
        <f t="shared" si="72"/>
        <v>603.15</v>
      </c>
      <c r="AN239" s="67">
        <v>0</v>
      </c>
      <c r="AO239" s="67">
        <v>0</v>
      </c>
    </row>
    <row r="240" spans="1:41" s="3" customFormat="1" ht="15">
      <c r="A240" s="58" t="s">
        <v>471</v>
      </c>
      <c r="B240" s="58" t="s">
        <v>64</v>
      </c>
      <c r="C240" s="58" t="str">
        <f t="shared" si="74"/>
        <v>10309 REPUBLIC SCHOOL DISTRICT</v>
      </c>
      <c r="D240" s="36">
        <v>0</v>
      </c>
      <c r="E240" s="36">
        <v>886.94</v>
      </c>
      <c r="F240" s="36">
        <v>7318.26</v>
      </c>
      <c r="G240" s="36">
        <v>703433.19</v>
      </c>
      <c r="H240" s="36">
        <v>99537.95</v>
      </c>
      <c r="I240" s="36">
        <v>103790.2</v>
      </c>
      <c r="J240" s="36">
        <v>158010.54</v>
      </c>
      <c r="K240" s="36">
        <v>0</v>
      </c>
      <c r="L240" s="36">
        <v>13000.19</v>
      </c>
      <c r="M240" s="36">
        <v>406131.54</v>
      </c>
      <c r="N240" s="50">
        <v>0.12720000000000001</v>
      </c>
      <c r="O240" s="53">
        <v>0.2772</v>
      </c>
      <c r="P240" s="36">
        <v>0</v>
      </c>
      <c r="Q240" s="66">
        <v>0</v>
      </c>
      <c r="R240" s="66">
        <v>0</v>
      </c>
      <c r="S240" s="67">
        <v>0</v>
      </c>
      <c r="T240" s="67">
        <v>0</v>
      </c>
      <c r="U240" s="67">
        <v>0</v>
      </c>
      <c r="V240" s="36">
        <v>0</v>
      </c>
      <c r="W240" s="67">
        <v>0</v>
      </c>
      <c r="X240" s="67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73253.429999999993</v>
      </c>
      <c r="AD240" s="36">
        <v>7.15</v>
      </c>
      <c r="AE240" s="36">
        <v>63891.71</v>
      </c>
      <c r="AF240" s="68">
        <f t="shared" si="67"/>
        <v>8935.9034965034953</v>
      </c>
      <c r="AG240" s="68">
        <f t="shared" si="68"/>
        <v>10245.234965034964</v>
      </c>
      <c r="AH240" s="69">
        <f t="shared" si="69"/>
        <v>1309.33</v>
      </c>
      <c r="AI240" s="36">
        <v>0</v>
      </c>
      <c r="AJ240" s="36">
        <v>0</v>
      </c>
      <c r="AK240" s="68">
        <f t="shared" si="70"/>
        <v>0</v>
      </c>
      <c r="AL240" s="68">
        <f t="shared" si="71"/>
        <v>0</v>
      </c>
      <c r="AM240" s="69">
        <f t="shared" si="72"/>
        <v>0</v>
      </c>
      <c r="AN240" s="67">
        <v>0</v>
      </c>
      <c r="AO240" s="67">
        <v>0</v>
      </c>
    </row>
    <row r="241" spans="1:41" s="3" customFormat="1" ht="15">
      <c r="A241" s="58" t="s">
        <v>431</v>
      </c>
      <c r="B241" s="58" t="s">
        <v>24</v>
      </c>
      <c r="C241" s="58" t="str">
        <f t="shared" si="74"/>
        <v>03400 RICHLAND SCHOOL DISTRICT</v>
      </c>
      <c r="D241" s="36">
        <v>0</v>
      </c>
      <c r="E241" s="36">
        <v>326810</v>
      </c>
      <c r="F241" s="36">
        <v>77784.44</v>
      </c>
      <c r="G241" s="36">
        <v>23302311.73</v>
      </c>
      <c r="H241" s="36">
        <v>4606263.78</v>
      </c>
      <c r="I241" s="36">
        <v>768534.27</v>
      </c>
      <c r="J241" s="36">
        <v>3778995.19</v>
      </c>
      <c r="K241" s="36">
        <v>1524543.54</v>
      </c>
      <c r="L241" s="36">
        <v>417210.33</v>
      </c>
      <c r="M241" s="36">
        <v>5521116.8499999996</v>
      </c>
      <c r="N241" s="50">
        <v>4.0800000000000003E-2</v>
      </c>
      <c r="O241" s="53">
        <v>0.14829999999999999</v>
      </c>
      <c r="P241" s="36">
        <v>0</v>
      </c>
      <c r="Q241" s="66">
        <v>0</v>
      </c>
      <c r="R241" s="66">
        <v>0</v>
      </c>
      <c r="S241" s="67">
        <v>149298.66</v>
      </c>
      <c r="T241" s="67">
        <v>14031.131999999998</v>
      </c>
      <c r="U241" s="67">
        <v>5767.37</v>
      </c>
      <c r="V241" s="36">
        <v>0</v>
      </c>
      <c r="W241" s="67">
        <v>0</v>
      </c>
      <c r="X241" s="67">
        <v>0</v>
      </c>
      <c r="Y241" s="36">
        <v>0</v>
      </c>
      <c r="Z241" s="36">
        <v>0</v>
      </c>
      <c r="AA241" s="36">
        <v>235064.98</v>
      </c>
      <c r="AB241" s="36">
        <v>1269807.76</v>
      </c>
      <c r="AC241" s="36">
        <v>7531680.0899999999</v>
      </c>
      <c r="AD241" s="36">
        <v>785.06</v>
      </c>
      <c r="AE241" s="36">
        <v>7017609.4900000002</v>
      </c>
      <c r="AF241" s="68">
        <f t="shared" si="67"/>
        <v>8938.9466919725892</v>
      </c>
      <c r="AG241" s="68">
        <f t="shared" si="68"/>
        <v>9593.7636486383217</v>
      </c>
      <c r="AH241" s="69">
        <f t="shared" si="69"/>
        <v>654.82000000000005</v>
      </c>
      <c r="AI241" s="36">
        <v>137.06</v>
      </c>
      <c r="AJ241" s="36">
        <v>1195377.72</v>
      </c>
      <c r="AK241" s="68">
        <f t="shared" si="70"/>
        <v>8721.5651539471764</v>
      </c>
      <c r="AL241" s="68">
        <f t="shared" si="71"/>
        <v>9264.6122865898142</v>
      </c>
      <c r="AM241" s="69">
        <f t="shared" si="72"/>
        <v>543.04999999999995</v>
      </c>
      <c r="AN241" s="67">
        <v>0</v>
      </c>
      <c r="AO241" s="67">
        <v>0</v>
      </c>
    </row>
    <row r="242" spans="1:41" s="3" customFormat="1" ht="15">
      <c r="A242" s="58" t="s">
        <v>452</v>
      </c>
      <c r="B242" s="58" t="s">
        <v>45</v>
      </c>
      <c r="C242" s="58" t="str">
        <f t="shared" si="74"/>
        <v>06122 RIDGEFIELD SCHOOL DISTRICT</v>
      </c>
      <c r="D242" s="36">
        <v>0</v>
      </c>
      <c r="E242" s="36">
        <v>28031.41</v>
      </c>
      <c r="F242" s="36">
        <v>0</v>
      </c>
      <c r="G242" s="36">
        <v>5813430.8499999996</v>
      </c>
      <c r="H242" s="36">
        <v>783852.37</v>
      </c>
      <c r="I242" s="36">
        <v>0</v>
      </c>
      <c r="J242" s="36">
        <v>669470.49</v>
      </c>
      <c r="K242" s="36">
        <v>289244.55</v>
      </c>
      <c r="L242" s="36">
        <v>127028.85</v>
      </c>
      <c r="M242" s="36">
        <v>0</v>
      </c>
      <c r="N242" s="50">
        <v>4.7600000000000003E-2</v>
      </c>
      <c r="O242" s="53">
        <v>0.17130000000000001</v>
      </c>
      <c r="P242" s="36">
        <v>0</v>
      </c>
      <c r="Q242" s="66">
        <v>0</v>
      </c>
      <c r="R242" s="66">
        <v>0</v>
      </c>
      <c r="S242" s="67">
        <v>0</v>
      </c>
      <c r="T242" s="67">
        <v>0</v>
      </c>
      <c r="U242" s="67">
        <v>0</v>
      </c>
      <c r="V242" s="36">
        <v>0</v>
      </c>
      <c r="W242" s="67">
        <v>0</v>
      </c>
      <c r="X242" s="67">
        <v>0</v>
      </c>
      <c r="Y242" s="36">
        <v>0</v>
      </c>
      <c r="Z242" s="36">
        <v>0</v>
      </c>
      <c r="AA242" s="36">
        <v>0</v>
      </c>
      <c r="AB242" s="36">
        <v>579255.85</v>
      </c>
      <c r="AC242" s="36">
        <v>2032288.41</v>
      </c>
      <c r="AD242" s="36">
        <v>211.73</v>
      </c>
      <c r="AE242" s="36">
        <v>1950501.94</v>
      </c>
      <c r="AF242" s="68">
        <f t="shared" si="67"/>
        <v>9212.2133849714264</v>
      </c>
      <c r="AG242" s="68">
        <f t="shared" si="68"/>
        <v>9598.4905776224441</v>
      </c>
      <c r="AH242" s="69">
        <f t="shared" si="69"/>
        <v>386.28</v>
      </c>
      <c r="AI242" s="36">
        <v>60.63</v>
      </c>
      <c r="AJ242" s="36">
        <v>545314.32999999996</v>
      </c>
      <c r="AK242" s="68">
        <f t="shared" si="70"/>
        <v>8994.133762163945</v>
      </c>
      <c r="AL242" s="68">
        <f t="shared" si="71"/>
        <v>9553.9477156523171</v>
      </c>
      <c r="AM242" s="69">
        <f t="shared" si="72"/>
        <v>559.80999999999995</v>
      </c>
      <c r="AN242" s="67">
        <v>0</v>
      </c>
      <c r="AO242" s="67">
        <v>0</v>
      </c>
    </row>
    <row r="243" spans="1:41" s="3" customFormat="1" ht="15">
      <c r="A243" s="58" t="s">
        <v>423</v>
      </c>
      <c r="B243" s="58" t="s">
        <v>16</v>
      </c>
      <c r="C243" s="58" t="str">
        <f t="shared" si="74"/>
        <v>01160 RITZVILLE SCHOOL DISTRICT</v>
      </c>
      <c r="D243" s="36">
        <v>0</v>
      </c>
      <c r="E243" s="36">
        <v>0</v>
      </c>
      <c r="F243" s="36">
        <v>963.07</v>
      </c>
      <c r="G243" s="36">
        <v>460164.64</v>
      </c>
      <c r="H243" s="36">
        <v>42478.559999999998</v>
      </c>
      <c r="I243" s="36">
        <v>48478.87</v>
      </c>
      <c r="J243" s="36">
        <v>109749.29</v>
      </c>
      <c r="K243" s="36">
        <v>0</v>
      </c>
      <c r="L243" s="36">
        <v>11931.61</v>
      </c>
      <c r="M243" s="36">
        <v>0</v>
      </c>
      <c r="N243" s="50">
        <v>5.7000000000000002E-2</v>
      </c>
      <c r="O243" s="53">
        <v>0.25059999999999999</v>
      </c>
      <c r="P243" s="36">
        <v>0</v>
      </c>
      <c r="Q243" s="66">
        <v>0</v>
      </c>
      <c r="R243" s="66">
        <v>0</v>
      </c>
      <c r="S243" s="67">
        <v>0</v>
      </c>
      <c r="T243" s="67">
        <v>0</v>
      </c>
      <c r="U243" s="67">
        <v>0</v>
      </c>
      <c r="V243" s="36">
        <v>0</v>
      </c>
      <c r="W243" s="67">
        <v>0</v>
      </c>
      <c r="X243" s="67">
        <v>0</v>
      </c>
      <c r="Y243" s="36">
        <v>0</v>
      </c>
      <c r="Z243" s="36">
        <v>0</v>
      </c>
      <c r="AA243" s="36">
        <v>0</v>
      </c>
      <c r="AB243" s="36">
        <v>104237.98</v>
      </c>
      <c r="AC243" s="36">
        <v>296752.02</v>
      </c>
      <c r="AD243" s="36">
        <v>30.24</v>
      </c>
      <c r="AE243" s="36">
        <v>272940.95</v>
      </c>
      <c r="AF243" s="68">
        <f t="shared" si="67"/>
        <v>9025.8250661375678</v>
      </c>
      <c r="AG243" s="68">
        <f t="shared" si="68"/>
        <v>9813.2281746031749</v>
      </c>
      <c r="AH243" s="69">
        <f t="shared" si="69"/>
        <v>787.4</v>
      </c>
      <c r="AI243" s="36">
        <v>11.14</v>
      </c>
      <c r="AJ243" s="36">
        <v>98098</v>
      </c>
      <c r="AK243" s="68">
        <f t="shared" si="70"/>
        <v>8805.9245960502685</v>
      </c>
      <c r="AL243" s="68">
        <f t="shared" si="71"/>
        <v>9357.0897666068213</v>
      </c>
      <c r="AM243" s="69">
        <f t="shared" si="72"/>
        <v>551.16999999999996</v>
      </c>
      <c r="AN243" s="67">
        <v>0</v>
      </c>
      <c r="AO243" s="67">
        <v>0</v>
      </c>
    </row>
    <row r="244" spans="1:41" s="3" customFormat="1" ht="15">
      <c r="A244" s="58" t="s">
        <v>648</v>
      </c>
      <c r="B244" s="58" t="s">
        <v>243</v>
      </c>
      <c r="C244" s="58" t="str">
        <f t="shared" si="74"/>
        <v>32416 RIVERSIDE SCHOOL DISTRICT</v>
      </c>
      <c r="D244" s="36">
        <v>0</v>
      </c>
      <c r="E244" s="36">
        <v>25485.19</v>
      </c>
      <c r="F244" s="36">
        <v>11607</v>
      </c>
      <c r="G244" s="36">
        <v>2295576.27</v>
      </c>
      <c r="H244" s="36">
        <v>436692.09</v>
      </c>
      <c r="I244" s="36">
        <v>287784.68</v>
      </c>
      <c r="J244" s="36">
        <v>519570.84</v>
      </c>
      <c r="K244" s="36">
        <v>19700.53</v>
      </c>
      <c r="L244" s="36">
        <v>45089.74</v>
      </c>
      <c r="M244" s="36">
        <v>1670665.71</v>
      </c>
      <c r="N244" s="50">
        <v>4.3099999999999999E-2</v>
      </c>
      <c r="O244" s="53">
        <v>0.21479999999999999</v>
      </c>
      <c r="P244" s="36">
        <v>0</v>
      </c>
      <c r="Q244" s="66">
        <v>0</v>
      </c>
      <c r="R244" s="66">
        <v>0</v>
      </c>
      <c r="S244" s="67">
        <v>0</v>
      </c>
      <c r="T244" s="67">
        <v>0</v>
      </c>
      <c r="U244" s="67">
        <v>0</v>
      </c>
      <c r="V244" s="36">
        <v>0</v>
      </c>
      <c r="W244" s="67">
        <v>0</v>
      </c>
      <c r="X244" s="67">
        <v>0</v>
      </c>
      <c r="Y244" s="36">
        <v>0</v>
      </c>
      <c r="Z244" s="36">
        <v>0</v>
      </c>
      <c r="AA244" s="36">
        <v>0</v>
      </c>
      <c r="AB244" s="36">
        <v>398568.75</v>
      </c>
      <c r="AC244" s="36">
        <v>967590.77</v>
      </c>
      <c r="AD244" s="36">
        <v>101.49</v>
      </c>
      <c r="AE244" s="36">
        <v>897983.89</v>
      </c>
      <c r="AF244" s="68">
        <f t="shared" si="67"/>
        <v>8848.0036456793787</v>
      </c>
      <c r="AG244" s="68">
        <f t="shared" si="68"/>
        <v>9533.8532860380346</v>
      </c>
      <c r="AH244" s="69">
        <f t="shared" si="69"/>
        <v>685.85</v>
      </c>
      <c r="AI244" s="36">
        <v>43.46</v>
      </c>
      <c r="AJ244" s="36">
        <v>375051.03</v>
      </c>
      <c r="AK244" s="68">
        <f t="shared" si="70"/>
        <v>8629.798205246203</v>
      </c>
      <c r="AL244" s="68">
        <f t="shared" si="71"/>
        <v>9170.933041877588</v>
      </c>
      <c r="AM244" s="69">
        <f t="shared" si="72"/>
        <v>541.13</v>
      </c>
      <c r="AN244" s="67">
        <v>0</v>
      </c>
      <c r="AO244" s="67">
        <v>0</v>
      </c>
    </row>
    <row r="245" spans="1:41" s="3" customFormat="1" ht="15">
      <c r="A245" s="58" t="s">
        <v>518</v>
      </c>
      <c r="B245" s="58" t="s">
        <v>111</v>
      </c>
      <c r="C245" s="58" t="str">
        <f t="shared" si="74"/>
        <v>17407 RIVERVIEW SCHOOL DISTRICT</v>
      </c>
      <c r="D245" s="36">
        <v>0</v>
      </c>
      <c r="E245" s="36">
        <v>0</v>
      </c>
      <c r="F245" s="36">
        <v>0</v>
      </c>
      <c r="G245" s="36">
        <v>4037981.9</v>
      </c>
      <c r="H245" s="36">
        <v>609666.86</v>
      </c>
      <c r="I245" s="36">
        <v>0</v>
      </c>
      <c r="J245" s="36">
        <v>358348.96</v>
      </c>
      <c r="K245" s="36">
        <v>397651.99</v>
      </c>
      <c r="L245" s="36">
        <v>105149.36</v>
      </c>
      <c r="M245" s="36">
        <v>2654338.66</v>
      </c>
      <c r="N245" s="50">
        <v>3.7499999999999999E-2</v>
      </c>
      <c r="O245" s="53">
        <v>0.15579999999999999</v>
      </c>
      <c r="P245" s="36">
        <v>0</v>
      </c>
      <c r="Q245" s="66">
        <v>0</v>
      </c>
      <c r="R245" s="66">
        <v>0</v>
      </c>
      <c r="S245" s="67">
        <v>0</v>
      </c>
      <c r="T245" s="67">
        <v>0</v>
      </c>
      <c r="U245" s="67">
        <v>0</v>
      </c>
      <c r="V245" s="36">
        <v>0</v>
      </c>
      <c r="W245" s="67">
        <v>0</v>
      </c>
      <c r="X245" s="67">
        <v>0</v>
      </c>
      <c r="Y245" s="36">
        <v>0</v>
      </c>
      <c r="Z245" s="36">
        <v>0</v>
      </c>
      <c r="AA245" s="36">
        <v>0</v>
      </c>
      <c r="AB245" s="36">
        <v>215804.89</v>
      </c>
      <c r="AC245" s="36">
        <v>1855661.82</v>
      </c>
      <c r="AD245" s="36">
        <v>165.57</v>
      </c>
      <c r="AE245" s="36">
        <v>1646078.22</v>
      </c>
      <c r="AF245" s="68">
        <f t="shared" si="67"/>
        <v>9941.8869360391382</v>
      </c>
      <c r="AG245" s="68">
        <f t="shared" si="68"/>
        <v>11207.717702482334</v>
      </c>
      <c r="AH245" s="69">
        <f t="shared" si="69"/>
        <v>1265.83</v>
      </c>
      <c r="AI245" s="36">
        <v>20.91</v>
      </c>
      <c r="AJ245" s="36">
        <v>203126.72</v>
      </c>
      <c r="AK245" s="68">
        <f t="shared" si="70"/>
        <v>9714.3338115734095</v>
      </c>
      <c r="AL245" s="68">
        <f t="shared" si="71"/>
        <v>10320.654710664754</v>
      </c>
      <c r="AM245" s="69">
        <f t="shared" si="72"/>
        <v>606.32000000000005</v>
      </c>
      <c r="AN245" s="67">
        <v>0</v>
      </c>
      <c r="AO245" s="67">
        <v>0</v>
      </c>
    </row>
    <row r="246" spans="1:41" s="3" customFormat="1" ht="15">
      <c r="A246" s="58" t="s">
        <v>665</v>
      </c>
      <c r="B246" s="58" t="s">
        <v>262</v>
      </c>
      <c r="C246" s="58" t="str">
        <f t="shared" si="74"/>
        <v>34401 ROCHESTER SCHOOL DISTRICT</v>
      </c>
      <c r="D246" s="36">
        <v>0</v>
      </c>
      <c r="E246" s="36">
        <v>63420.88</v>
      </c>
      <c r="F246" s="36">
        <v>26176.959999999999</v>
      </c>
      <c r="G246" s="36">
        <v>3532558.24</v>
      </c>
      <c r="H246" s="36">
        <v>553199.71</v>
      </c>
      <c r="I246" s="36">
        <v>469805.92</v>
      </c>
      <c r="J246" s="36">
        <v>813693.03</v>
      </c>
      <c r="K246" s="36">
        <v>356957.17</v>
      </c>
      <c r="L246" s="36">
        <v>62232.13</v>
      </c>
      <c r="M246" s="36">
        <v>2249154.98</v>
      </c>
      <c r="N246" s="50">
        <v>1.95E-2</v>
      </c>
      <c r="O246" s="53">
        <v>0.1348</v>
      </c>
      <c r="P246" s="36">
        <v>0</v>
      </c>
      <c r="Q246" s="66">
        <v>0</v>
      </c>
      <c r="R246" s="66">
        <v>0</v>
      </c>
      <c r="S246" s="67">
        <v>0</v>
      </c>
      <c r="T246" s="67">
        <v>0</v>
      </c>
      <c r="U246" s="67">
        <v>0</v>
      </c>
      <c r="V246" s="36">
        <v>0</v>
      </c>
      <c r="W246" s="67">
        <v>0</v>
      </c>
      <c r="X246" s="67">
        <v>0</v>
      </c>
      <c r="Y246" s="36">
        <v>0</v>
      </c>
      <c r="Z246" s="36">
        <v>0</v>
      </c>
      <c r="AA246" s="36">
        <v>40055.64</v>
      </c>
      <c r="AB246" s="36">
        <v>0</v>
      </c>
      <c r="AC246" s="36">
        <v>1170041.81</v>
      </c>
      <c r="AD246" s="36">
        <v>122.67</v>
      </c>
      <c r="AE246" s="36">
        <v>1085373</v>
      </c>
      <c r="AF246" s="68">
        <f t="shared" si="67"/>
        <v>8847.9090242112979</v>
      </c>
      <c r="AG246" s="68">
        <f t="shared" si="68"/>
        <v>9538.1251324692275</v>
      </c>
      <c r="AH246" s="69">
        <f t="shared" si="69"/>
        <v>690.22</v>
      </c>
      <c r="AI246" s="36">
        <v>0</v>
      </c>
      <c r="AJ246" s="36">
        <v>0</v>
      </c>
      <c r="AK246" s="68">
        <f t="shared" si="70"/>
        <v>0</v>
      </c>
      <c r="AL246" s="68">
        <f t="shared" si="71"/>
        <v>0</v>
      </c>
      <c r="AM246" s="69">
        <f t="shared" si="72"/>
        <v>0</v>
      </c>
      <c r="AN246" s="67">
        <v>0</v>
      </c>
      <c r="AO246" s="67">
        <v>0</v>
      </c>
    </row>
    <row r="247" spans="1:41" s="3" customFormat="1" ht="15">
      <c r="A247" s="58" t="s">
        <v>819</v>
      </c>
      <c r="B247" s="60" t="s">
        <v>820</v>
      </c>
      <c r="C247" s="58" t="str">
        <f t="shared" si="74"/>
        <v>06901 ROOTED VANCOUVER SCHOOL DISTRICT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127945.59</v>
      </c>
      <c r="N247" s="76">
        <v>3.7100000000000001E-2</v>
      </c>
      <c r="O247" s="77">
        <v>0.14399999999999999</v>
      </c>
      <c r="P247" s="36">
        <v>0</v>
      </c>
      <c r="Q247" s="66">
        <v>0</v>
      </c>
      <c r="R247" s="66">
        <v>0</v>
      </c>
      <c r="S247" s="67">
        <v>0</v>
      </c>
      <c r="T247" s="67">
        <v>0</v>
      </c>
      <c r="U247" s="67">
        <v>0</v>
      </c>
      <c r="V247" s="36">
        <v>0</v>
      </c>
      <c r="W247" s="67">
        <v>0</v>
      </c>
      <c r="X247" s="67">
        <v>0</v>
      </c>
      <c r="Y247" s="36">
        <v>0</v>
      </c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68">
        <f t="shared" si="67"/>
        <v>0</v>
      </c>
      <c r="AG247" s="68">
        <f t="shared" si="68"/>
        <v>0</v>
      </c>
      <c r="AH247" s="69">
        <f t="shared" si="69"/>
        <v>0</v>
      </c>
      <c r="AI247" s="36">
        <v>0</v>
      </c>
      <c r="AJ247" s="36">
        <v>0</v>
      </c>
      <c r="AK247" s="68">
        <f t="shared" si="70"/>
        <v>0</v>
      </c>
      <c r="AL247" s="68">
        <f t="shared" si="71"/>
        <v>0</v>
      </c>
      <c r="AM247" s="69">
        <f t="shared" si="72"/>
        <v>0</v>
      </c>
      <c r="AN247" s="67">
        <v>0</v>
      </c>
      <c r="AO247" s="67">
        <v>0</v>
      </c>
    </row>
    <row r="248" spans="1:41" s="3" customFormat="1" ht="15">
      <c r="A248" s="58" t="s">
        <v>544</v>
      </c>
      <c r="B248" s="58" t="s">
        <v>137</v>
      </c>
      <c r="C248" s="58" t="str">
        <f t="shared" si="74"/>
        <v>20403 ROOSEVELT SCHOOL DISTRICT</v>
      </c>
      <c r="D248" s="36">
        <v>0</v>
      </c>
      <c r="E248" s="36">
        <v>0</v>
      </c>
      <c r="F248" s="36">
        <v>0</v>
      </c>
      <c r="G248" s="36">
        <v>39315.65</v>
      </c>
      <c r="H248" s="36">
        <v>29707.99</v>
      </c>
      <c r="I248" s="36">
        <v>0</v>
      </c>
      <c r="J248" s="36">
        <v>8964.17</v>
      </c>
      <c r="K248" s="36">
        <v>5048.08</v>
      </c>
      <c r="L248" s="36">
        <v>765.24</v>
      </c>
      <c r="M248" s="36">
        <v>0</v>
      </c>
      <c r="N248" s="50">
        <v>3.7100000000000001E-2</v>
      </c>
      <c r="O248" s="53">
        <v>0.15129999999999999</v>
      </c>
      <c r="P248" s="36">
        <v>0</v>
      </c>
      <c r="Q248" s="66">
        <v>0</v>
      </c>
      <c r="R248" s="66">
        <v>0</v>
      </c>
      <c r="S248" s="67">
        <v>0</v>
      </c>
      <c r="T248" s="67">
        <v>0</v>
      </c>
      <c r="U248" s="67">
        <v>0</v>
      </c>
      <c r="V248" s="36">
        <v>0</v>
      </c>
      <c r="W248" s="67">
        <v>0</v>
      </c>
      <c r="X248" s="67">
        <v>0</v>
      </c>
      <c r="Y248" s="36">
        <v>0</v>
      </c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0</v>
      </c>
      <c r="AF248" s="68">
        <f t="shared" si="67"/>
        <v>0</v>
      </c>
      <c r="AG248" s="68">
        <f t="shared" si="68"/>
        <v>0</v>
      </c>
      <c r="AH248" s="69">
        <f t="shared" si="69"/>
        <v>0</v>
      </c>
      <c r="AI248" s="36">
        <v>0</v>
      </c>
      <c r="AJ248" s="36">
        <v>0</v>
      </c>
      <c r="AK248" s="68">
        <f t="shared" si="70"/>
        <v>0</v>
      </c>
      <c r="AL248" s="68">
        <f t="shared" si="71"/>
        <v>0</v>
      </c>
      <c r="AM248" s="69">
        <f t="shared" si="72"/>
        <v>0</v>
      </c>
      <c r="AN248" s="67">
        <v>0</v>
      </c>
      <c r="AO248" s="67">
        <v>0</v>
      </c>
    </row>
    <row r="249" spans="1:41" s="3" customFormat="1" ht="15">
      <c r="A249" s="58" t="s">
        <v>692</v>
      </c>
      <c r="B249" s="58" t="s">
        <v>289</v>
      </c>
      <c r="C249" s="58" t="str">
        <f t="shared" si="74"/>
        <v>38320 ROSALIA SCHOOL DISTRICT</v>
      </c>
      <c r="D249" s="36">
        <v>0</v>
      </c>
      <c r="E249" s="36">
        <v>0</v>
      </c>
      <c r="F249" s="36">
        <v>0</v>
      </c>
      <c r="G249" s="36">
        <v>243404.39</v>
      </c>
      <c r="H249" s="36">
        <v>40618.49</v>
      </c>
      <c r="I249" s="36">
        <v>46759</v>
      </c>
      <c r="J249" s="36">
        <v>64925.15</v>
      </c>
      <c r="K249" s="36">
        <v>0</v>
      </c>
      <c r="L249" s="36">
        <v>4622.1499999999996</v>
      </c>
      <c r="M249" s="36">
        <v>235868.86</v>
      </c>
      <c r="N249" s="50">
        <v>4.9000000000000002E-2</v>
      </c>
      <c r="O249" s="53">
        <v>0.1845</v>
      </c>
      <c r="P249" s="36">
        <v>0</v>
      </c>
      <c r="Q249" s="66">
        <v>0</v>
      </c>
      <c r="R249" s="66">
        <v>0</v>
      </c>
      <c r="S249" s="67">
        <v>0</v>
      </c>
      <c r="T249" s="67">
        <v>0</v>
      </c>
      <c r="U249" s="67">
        <v>0</v>
      </c>
      <c r="V249" s="36">
        <v>0</v>
      </c>
      <c r="W249" s="67">
        <v>0</v>
      </c>
      <c r="X249" s="67">
        <v>0</v>
      </c>
      <c r="Y249" s="36">
        <v>0</v>
      </c>
      <c r="Z249" s="36">
        <v>0</v>
      </c>
      <c r="AA249" s="36">
        <v>0</v>
      </c>
      <c r="AB249" s="36">
        <v>23061.73</v>
      </c>
      <c r="AC249" s="36">
        <v>52052.95</v>
      </c>
      <c r="AD249" s="36">
        <v>5.55</v>
      </c>
      <c r="AE249" s="36">
        <v>50055.93</v>
      </c>
      <c r="AF249" s="68">
        <f t="shared" si="67"/>
        <v>9019.086486486487</v>
      </c>
      <c r="AG249" s="68">
        <f t="shared" si="68"/>
        <v>9378.9099099099094</v>
      </c>
      <c r="AH249" s="69">
        <f t="shared" si="69"/>
        <v>359.82</v>
      </c>
      <c r="AI249" s="36">
        <v>2.4700000000000002</v>
      </c>
      <c r="AJ249" s="36">
        <v>21781.63</v>
      </c>
      <c r="AK249" s="68">
        <f t="shared" si="70"/>
        <v>8818.4736842105267</v>
      </c>
      <c r="AL249" s="68">
        <f t="shared" si="71"/>
        <v>9336.7327935222656</v>
      </c>
      <c r="AM249" s="69">
        <f t="shared" si="72"/>
        <v>518.26</v>
      </c>
      <c r="AN249" s="67">
        <v>0</v>
      </c>
      <c r="AO249" s="67">
        <v>0</v>
      </c>
    </row>
    <row r="250" spans="1:41" s="3" customFormat="1" ht="15">
      <c r="A250" s="58" t="s">
        <v>482</v>
      </c>
      <c r="B250" s="58" t="s">
        <v>75</v>
      </c>
      <c r="C250" s="58" t="str">
        <f t="shared" si="74"/>
        <v>13160 ROYAL SCHOOL DISTRICT</v>
      </c>
      <c r="D250" s="36">
        <v>211711.09</v>
      </c>
      <c r="E250" s="36">
        <v>87795.31</v>
      </c>
      <c r="F250" s="36">
        <v>51066.95</v>
      </c>
      <c r="G250" s="36">
        <v>2303842.46</v>
      </c>
      <c r="H250" s="36">
        <v>341370.24</v>
      </c>
      <c r="I250" s="36">
        <v>528505.67000000004</v>
      </c>
      <c r="J250" s="36">
        <v>919040.91</v>
      </c>
      <c r="K250" s="36">
        <v>1215410.06</v>
      </c>
      <c r="L250" s="36">
        <v>50284.4</v>
      </c>
      <c r="M250" s="36">
        <v>1346645.58</v>
      </c>
      <c r="N250" s="50">
        <v>1.7500000000000002E-2</v>
      </c>
      <c r="O250" s="53">
        <v>0.15890000000000001</v>
      </c>
      <c r="P250" s="36">
        <v>0</v>
      </c>
      <c r="Q250" s="66">
        <v>0</v>
      </c>
      <c r="R250" s="66">
        <v>0</v>
      </c>
      <c r="S250" s="67">
        <v>0</v>
      </c>
      <c r="T250" s="67">
        <v>0</v>
      </c>
      <c r="U250" s="67">
        <v>0</v>
      </c>
      <c r="V250" s="36">
        <v>0</v>
      </c>
      <c r="W250" s="67">
        <v>0</v>
      </c>
      <c r="X250" s="67">
        <v>0</v>
      </c>
      <c r="Y250" s="36">
        <v>0</v>
      </c>
      <c r="Z250" s="36">
        <v>13949.38</v>
      </c>
      <c r="AA250" s="36">
        <v>0</v>
      </c>
      <c r="AB250" s="36">
        <v>157450.51</v>
      </c>
      <c r="AC250" s="36">
        <v>1155199.17</v>
      </c>
      <c r="AD250" s="36">
        <v>123.39</v>
      </c>
      <c r="AE250" s="36">
        <v>1091690.48</v>
      </c>
      <c r="AF250" s="68">
        <f t="shared" si="67"/>
        <v>8847.4793743415194</v>
      </c>
      <c r="AG250" s="68">
        <f t="shared" si="68"/>
        <v>9362.1782154145385</v>
      </c>
      <c r="AH250" s="69">
        <f t="shared" si="69"/>
        <v>514.70000000000005</v>
      </c>
      <c r="AI250" s="36">
        <v>17.18</v>
      </c>
      <c r="AJ250" s="36">
        <v>148322.54</v>
      </c>
      <c r="AK250" s="68">
        <f t="shared" si="70"/>
        <v>8633.4423748544832</v>
      </c>
      <c r="AL250" s="68">
        <f t="shared" si="71"/>
        <v>9164.7561117578589</v>
      </c>
      <c r="AM250" s="69">
        <f t="shared" si="72"/>
        <v>531.30999999999995</v>
      </c>
      <c r="AN250" s="67">
        <v>0</v>
      </c>
      <c r="AO250" s="67">
        <v>0</v>
      </c>
    </row>
    <row r="251" spans="1:41" s="3" customFormat="1" ht="15">
      <c r="A251" s="58" t="s">
        <v>610</v>
      </c>
      <c r="B251" s="58" t="s">
        <v>204</v>
      </c>
      <c r="C251" s="58" t="str">
        <f t="shared" si="74"/>
        <v>28149 SAN JUAN SCHOOL DISTRICT</v>
      </c>
      <c r="D251" s="36">
        <v>0</v>
      </c>
      <c r="E251" s="36">
        <v>0</v>
      </c>
      <c r="F251" s="36">
        <v>0</v>
      </c>
      <c r="G251" s="36">
        <v>1441714.29</v>
      </c>
      <c r="H251" s="36">
        <v>171314.63</v>
      </c>
      <c r="I251" s="36">
        <v>0</v>
      </c>
      <c r="J251" s="36">
        <v>221687.19</v>
      </c>
      <c r="K251" s="36">
        <v>115104.36</v>
      </c>
      <c r="L251" s="36">
        <v>25817.599999999999</v>
      </c>
      <c r="M251" s="36">
        <v>428616.73</v>
      </c>
      <c r="N251" s="50">
        <v>5.6800000000000003E-2</v>
      </c>
      <c r="O251" s="53">
        <v>0.20860000000000001</v>
      </c>
      <c r="P251" s="36">
        <v>0</v>
      </c>
      <c r="Q251" s="66">
        <v>0</v>
      </c>
      <c r="R251" s="66">
        <v>0</v>
      </c>
      <c r="S251" s="67">
        <v>0</v>
      </c>
      <c r="T251" s="67">
        <v>0</v>
      </c>
      <c r="U251" s="67">
        <v>0</v>
      </c>
      <c r="V251" s="36">
        <v>0</v>
      </c>
      <c r="W251" s="67">
        <v>0</v>
      </c>
      <c r="X251" s="67">
        <v>0</v>
      </c>
      <c r="Y251" s="36">
        <v>0</v>
      </c>
      <c r="Z251" s="36">
        <v>0</v>
      </c>
      <c r="AA251" s="36">
        <v>3829.49</v>
      </c>
      <c r="AB251" s="36">
        <v>0</v>
      </c>
      <c r="AC251" s="36">
        <v>287811.49</v>
      </c>
      <c r="AD251" s="36">
        <v>28.81</v>
      </c>
      <c r="AE251" s="36">
        <v>275768.92</v>
      </c>
      <c r="AF251" s="68">
        <f t="shared" si="67"/>
        <v>9571.986115931968</v>
      </c>
      <c r="AG251" s="68">
        <f t="shared" si="68"/>
        <v>9989.9857688302673</v>
      </c>
      <c r="AH251" s="69">
        <f t="shared" si="69"/>
        <v>418</v>
      </c>
      <c r="AI251" s="36">
        <v>0</v>
      </c>
      <c r="AJ251" s="36">
        <v>0</v>
      </c>
      <c r="AK251" s="68">
        <f t="shared" si="70"/>
        <v>0</v>
      </c>
      <c r="AL251" s="68">
        <f t="shared" si="71"/>
        <v>0</v>
      </c>
      <c r="AM251" s="69">
        <f t="shared" si="72"/>
        <v>0</v>
      </c>
      <c r="AN251" s="67">
        <v>0</v>
      </c>
      <c r="AO251" s="67">
        <v>0</v>
      </c>
    </row>
    <row r="252" spans="1:41" s="3" customFormat="1" ht="15">
      <c r="A252" s="58" t="s">
        <v>496</v>
      </c>
      <c r="B252" s="58" t="s">
        <v>89</v>
      </c>
      <c r="C252" s="58" t="str">
        <f t="shared" si="74"/>
        <v>14104 SATSOP SCHOOL DISTRICT</v>
      </c>
      <c r="D252" s="36">
        <v>0</v>
      </c>
      <c r="E252" s="36">
        <v>0</v>
      </c>
      <c r="F252" s="36">
        <v>0</v>
      </c>
      <c r="G252" s="36">
        <v>130849.67</v>
      </c>
      <c r="H252" s="36">
        <v>5983.44</v>
      </c>
      <c r="I252" s="36">
        <v>16103.48</v>
      </c>
      <c r="J252" s="36">
        <v>18908.61</v>
      </c>
      <c r="K252" s="36">
        <v>0</v>
      </c>
      <c r="L252" s="36">
        <v>0</v>
      </c>
      <c r="M252" s="36">
        <v>0</v>
      </c>
      <c r="N252" s="50">
        <v>0.1142</v>
      </c>
      <c r="O252" s="53">
        <v>0.4022</v>
      </c>
      <c r="P252" s="36">
        <v>0</v>
      </c>
      <c r="Q252" s="66">
        <v>0</v>
      </c>
      <c r="R252" s="66">
        <v>0</v>
      </c>
      <c r="S252" s="67">
        <v>0</v>
      </c>
      <c r="T252" s="67">
        <v>0</v>
      </c>
      <c r="U252" s="67">
        <v>0</v>
      </c>
      <c r="V252" s="36">
        <v>0</v>
      </c>
      <c r="W252" s="67">
        <v>0</v>
      </c>
      <c r="X252" s="67">
        <v>0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68">
        <f t="shared" si="67"/>
        <v>0</v>
      </c>
      <c r="AG252" s="68">
        <f t="shared" si="68"/>
        <v>0</v>
      </c>
      <c r="AH252" s="69">
        <f t="shared" si="69"/>
        <v>0</v>
      </c>
      <c r="AI252" s="36">
        <v>0</v>
      </c>
      <c r="AJ252" s="36">
        <v>0</v>
      </c>
      <c r="AK252" s="68">
        <f t="shared" si="70"/>
        <v>0</v>
      </c>
      <c r="AL252" s="68">
        <f t="shared" si="71"/>
        <v>0</v>
      </c>
      <c r="AM252" s="69">
        <f t="shared" si="72"/>
        <v>0</v>
      </c>
      <c r="AN252" s="67">
        <v>0</v>
      </c>
      <c r="AO252" s="67">
        <v>0</v>
      </c>
    </row>
    <row r="253" spans="1:41" s="3" customFormat="1" ht="15">
      <c r="A253" s="58" t="s">
        <v>508</v>
      </c>
      <c r="B253" s="58" t="s">
        <v>101</v>
      </c>
      <c r="C253" s="58" t="str">
        <f t="shared" si="74"/>
        <v>17001 SEATTLE SCHOOL DISTRICT</v>
      </c>
      <c r="D253" s="36">
        <v>0</v>
      </c>
      <c r="E253" s="36">
        <v>698558.14</v>
      </c>
      <c r="F253" s="36">
        <v>294871.59000000003</v>
      </c>
      <c r="G253" s="36">
        <v>96561648.969999999</v>
      </c>
      <c r="H253" s="36">
        <v>16487092.58</v>
      </c>
      <c r="I253" s="36">
        <v>4874363.1399999997</v>
      </c>
      <c r="J253" s="36">
        <v>15643218.359999999</v>
      </c>
      <c r="K253" s="36">
        <v>12934906.189999999</v>
      </c>
      <c r="L253" s="36">
        <v>1718801.25</v>
      </c>
      <c r="M253" s="36">
        <v>37380347.25</v>
      </c>
      <c r="N253" s="50">
        <v>3.3399999999999999E-2</v>
      </c>
      <c r="O253" s="53">
        <v>0.1487</v>
      </c>
      <c r="P253" s="36">
        <v>0</v>
      </c>
      <c r="Q253" s="66">
        <v>0</v>
      </c>
      <c r="R253" s="66">
        <v>0</v>
      </c>
      <c r="S253" s="67">
        <v>927763.1</v>
      </c>
      <c r="T253" s="67">
        <v>74289.713000000003</v>
      </c>
      <c r="U253" s="67">
        <v>30710.560000000001</v>
      </c>
      <c r="V253" s="36">
        <v>0</v>
      </c>
      <c r="W253" s="67">
        <v>0</v>
      </c>
      <c r="X253" s="67">
        <v>0</v>
      </c>
      <c r="Y253" s="36">
        <v>0</v>
      </c>
      <c r="Z253" s="36">
        <v>193361.34</v>
      </c>
      <c r="AA253" s="36">
        <v>1227573.93</v>
      </c>
      <c r="AB253" s="36">
        <v>2124302.5699999998</v>
      </c>
      <c r="AC253" s="36">
        <v>19513530.609999999</v>
      </c>
      <c r="AD253" s="36">
        <v>1853.66</v>
      </c>
      <c r="AE253" s="36">
        <v>18429177.43</v>
      </c>
      <c r="AF253" s="68">
        <f t="shared" si="67"/>
        <v>9942.0483961460031</v>
      </c>
      <c r="AG253" s="68">
        <f t="shared" si="68"/>
        <v>10527.027939320047</v>
      </c>
      <c r="AH253" s="69">
        <f t="shared" si="69"/>
        <v>584.98</v>
      </c>
      <c r="AI253" s="36">
        <v>205.76</v>
      </c>
      <c r="AJ253" s="36">
        <v>2000229.43</v>
      </c>
      <c r="AK253" s="68">
        <f t="shared" si="70"/>
        <v>9721.177245334371</v>
      </c>
      <c r="AL253" s="68">
        <f t="shared" si="71"/>
        <v>10324.176564930016</v>
      </c>
      <c r="AM253" s="69">
        <f t="shared" si="72"/>
        <v>603</v>
      </c>
      <c r="AN253" s="67">
        <v>0</v>
      </c>
      <c r="AO253" s="67">
        <v>0</v>
      </c>
    </row>
    <row r="254" spans="1:41" s="3" customFormat="1" ht="15">
      <c r="A254" s="58" t="s">
        <v>613</v>
      </c>
      <c r="B254" s="58" t="s">
        <v>207</v>
      </c>
      <c r="C254" s="58" t="str">
        <f t="shared" si="74"/>
        <v>29101 SEDRO WOOLLEY SCHOOL DISTRICT</v>
      </c>
      <c r="D254" s="36">
        <v>0</v>
      </c>
      <c r="E254" s="36">
        <v>158513.72</v>
      </c>
      <c r="F254" s="36">
        <v>70930.23</v>
      </c>
      <c r="G254" s="36">
        <v>8515776.0199999996</v>
      </c>
      <c r="H254" s="36">
        <v>1660822.01</v>
      </c>
      <c r="I254" s="36">
        <v>771085.85</v>
      </c>
      <c r="J254" s="36">
        <v>1654965.95</v>
      </c>
      <c r="K254" s="36">
        <v>702238.03</v>
      </c>
      <c r="L254" s="36">
        <v>140906.75</v>
      </c>
      <c r="M254" s="36">
        <v>3865909.73</v>
      </c>
      <c r="N254" s="50">
        <v>3.2800000000000003E-2</v>
      </c>
      <c r="O254" s="53">
        <v>0.1376</v>
      </c>
      <c r="P254" s="36">
        <v>0</v>
      </c>
      <c r="Q254" s="66">
        <v>0</v>
      </c>
      <c r="R254" s="66">
        <v>0</v>
      </c>
      <c r="S254" s="67">
        <v>0</v>
      </c>
      <c r="T254" s="67">
        <v>0</v>
      </c>
      <c r="U254" s="67">
        <v>0</v>
      </c>
      <c r="V254" s="36">
        <v>0</v>
      </c>
      <c r="W254" s="67">
        <v>0</v>
      </c>
      <c r="X254" s="67">
        <v>0</v>
      </c>
      <c r="Y254" s="36">
        <v>0</v>
      </c>
      <c r="Z254" s="36">
        <v>20787.740000000002</v>
      </c>
      <c r="AA254" s="36">
        <v>284253.28000000003</v>
      </c>
      <c r="AB254" s="36">
        <v>324812.49</v>
      </c>
      <c r="AC254" s="36">
        <v>3301284.32</v>
      </c>
      <c r="AD254" s="36">
        <v>322.3</v>
      </c>
      <c r="AE254" s="36">
        <v>3086750.06</v>
      </c>
      <c r="AF254" s="68">
        <f t="shared" si="67"/>
        <v>9577.2573999379456</v>
      </c>
      <c r="AG254" s="68">
        <f t="shared" si="68"/>
        <v>10242.892708656531</v>
      </c>
      <c r="AH254" s="69">
        <f t="shared" si="69"/>
        <v>665.64</v>
      </c>
      <c r="AI254" s="36">
        <v>32.67</v>
      </c>
      <c r="AJ254" s="36">
        <v>305730.53000000003</v>
      </c>
      <c r="AK254" s="68">
        <f t="shared" si="70"/>
        <v>9358.14294459749</v>
      </c>
      <c r="AL254" s="68">
        <f t="shared" si="71"/>
        <v>9942.2249770431572</v>
      </c>
      <c r="AM254" s="69">
        <f t="shared" si="72"/>
        <v>584.08000000000004</v>
      </c>
      <c r="AN254" s="67">
        <v>0</v>
      </c>
      <c r="AO254" s="67">
        <v>0</v>
      </c>
    </row>
    <row r="255" spans="1:41" s="3" customFormat="1" ht="15">
      <c r="A255" s="58" t="s">
        <v>698</v>
      </c>
      <c r="B255" s="58" t="s">
        <v>296</v>
      </c>
      <c r="C255" s="58" t="str">
        <f t="shared" si="74"/>
        <v>39119 SELAH SCHOOL DISTRICT</v>
      </c>
      <c r="D255" s="36">
        <v>0</v>
      </c>
      <c r="E255" s="36">
        <v>0</v>
      </c>
      <c r="F255" s="36">
        <v>59497.1</v>
      </c>
      <c r="G255" s="36">
        <v>5370723.9199999999</v>
      </c>
      <c r="H255" s="36">
        <v>748084.75</v>
      </c>
      <c r="I255" s="36">
        <v>1110308.6499999999</v>
      </c>
      <c r="J255" s="36">
        <v>1549569.93</v>
      </c>
      <c r="K255" s="36">
        <v>651852.57999999996</v>
      </c>
      <c r="L255" s="36">
        <v>110126.98</v>
      </c>
      <c r="M255" s="36">
        <v>2096856.81</v>
      </c>
      <c r="N255" s="50">
        <v>3.4099999999999998E-2</v>
      </c>
      <c r="O255" s="53">
        <v>0.13869999999999999</v>
      </c>
      <c r="P255" s="36">
        <v>0</v>
      </c>
      <c r="Q255" s="66">
        <v>0</v>
      </c>
      <c r="R255" s="66">
        <v>0</v>
      </c>
      <c r="S255" s="67">
        <v>0</v>
      </c>
      <c r="T255" s="67">
        <v>0</v>
      </c>
      <c r="U255" s="67">
        <v>0</v>
      </c>
      <c r="V255" s="36">
        <v>235141.44</v>
      </c>
      <c r="W255" s="67">
        <v>0</v>
      </c>
      <c r="X255" s="67">
        <v>9294.85</v>
      </c>
      <c r="Y255" s="36">
        <v>0</v>
      </c>
      <c r="Z255" s="36">
        <v>145331.47</v>
      </c>
      <c r="AA255" s="36">
        <v>0</v>
      </c>
      <c r="AB255" s="36">
        <v>1586405.34</v>
      </c>
      <c r="AC255" s="36">
        <v>3718413.84</v>
      </c>
      <c r="AD255" s="36">
        <v>400.39</v>
      </c>
      <c r="AE255" s="36">
        <v>3542457.44</v>
      </c>
      <c r="AF255" s="68">
        <f t="shared" si="67"/>
        <v>8847.5172706611047</v>
      </c>
      <c r="AG255" s="68">
        <f t="shared" si="68"/>
        <v>9286.979794700168</v>
      </c>
      <c r="AH255" s="69">
        <f t="shared" si="69"/>
        <v>439.46</v>
      </c>
      <c r="AI255" s="36">
        <v>173.03</v>
      </c>
      <c r="AJ255" s="36">
        <v>1493307.67</v>
      </c>
      <c r="AK255" s="68">
        <f t="shared" si="70"/>
        <v>8630.339652083454</v>
      </c>
      <c r="AL255" s="68">
        <f t="shared" si="71"/>
        <v>9168.3831705484608</v>
      </c>
      <c r="AM255" s="69">
        <f t="shared" si="72"/>
        <v>538.04</v>
      </c>
      <c r="AN255" s="67">
        <v>20000</v>
      </c>
      <c r="AO255" s="67">
        <v>0</v>
      </c>
    </row>
    <row r="256" spans="1:41" s="3" customFormat="1" ht="15">
      <c r="A256" s="58" t="s">
        <v>591</v>
      </c>
      <c r="B256" s="58" t="s">
        <v>185</v>
      </c>
      <c r="C256" s="58" t="str">
        <f t="shared" si="74"/>
        <v>26070 SELKIRK SCHOOL DISTRICT</v>
      </c>
      <c r="D256" s="36">
        <v>0</v>
      </c>
      <c r="E256" s="36">
        <v>4704.54</v>
      </c>
      <c r="F256" s="36">
        <v>0</v>
      </c>
      <c r="G256" s="36">
        <v>446186.07</v>
      </c>
      <c r="H256" s="36">
        <v>86544.94</v>
      </c>
      <c r="I256" s="36">
        <v>56414.11</v>
      </c>
      <c r="J256" s="36">
        <v>104516.75</v>
      </c>
      <c r="K256" s="36">
        <v>0</v>
      </c>
      <c r="L256" s="36">
        <v>0</v>
      </c>
      <c r="M256" s="36">
        <v>418094.59</v>
      </c>
      <c r="N256" s="50">
        <v>6.0600000000000001E-2</v>
      </c>
      <c r="O256" s="53">
        <v>0.29220000000000002</v>
      </c>
      <c r="P256" s="36">
        <v>0</v>
      </c>
      <c r="Q256" s="66">
        <v>0</v>
      </c>
      <c r="R256" s="66">
        <v>0</v>
      </c>
      <c r="S256" s="67">
        <v>0</v>
      </c>
      <c r="T256" s="67">
        <v>0</v>
      </c>
      <c r="U256" s="67">
        <v>0</v>
      </c>
      <c r="V256" s="36">
        <v>0</v>
      </c>
      <c r="W256" s="67">
        <v>0</v>
      </c>
      <c r="X256" s="67">
        <v>0</v>
      </c>
      <c r="Y256" s="36">
        <v>0</v>
      </c>
      <c r="Z256" s="36">
        <v>1041.8</v>
      </c>
      <c r="AA256" s="36">
        <v>0</v>
      </c>
      <c r="AB256" s="36">
        <v>48727.45</v>
      </c>
      <c r="AC256" s="36">
        <v>162934.82</v>
      </c>
      <c r="AD256" s="36">
        <v>17.16</v>
      </c>
      <c r="AE256" s="36">
        <v>151888.69</v>
      </c>
      <c r="AF256" s="68">
        <f t="shared" si="67"/>
        <v>8851.3222610722605</v>
      </c>
      <c r="AG256" s="68">
        <f t="shared" si="68"/>
        <v>9495.0361305361312</v>
      </c>
      <c r="AH256" s="69">
        <f t="shared" si="69"/>
        <v>643.71</v>
      </c>
      <c r="AI256" s="36">
        <v>5.32</v>
      </c>
      <c r="AJ256" s="36">
        <v>46036.04</v>
      </c>
      <c r="AK256" s="68">
        <f t="shared" si="70"/>
        <v>8653.3909774436088</v>
      </c>
      <c r="AL256" s="68">
        <f t="shared" si="71"/>
        <v>9159.2951127819542</v>
      </c>
      <c r="AM256" s="69">
        <f t="shared" si="72"/>
        <v>505.9</v>
      </c>
      <c r="AN256" s="67">
        <v>106</v>
      </c>
      <c r="AO256" s="67">
        <v>0</v>
      </c>
    </row>
    <row r="257" spans="1:41" s="3" customFormat="1" ht="15">
      <c r="A257" s="58" t="s">
        <v>441</v>
      </c>
      <c r="B257" s="58" t="s">
        <v>34</v>
      </c>
      <c r="C257" s="58" t="str">
        <f t="shared" si="74"/>
        <v>05323 SEQUIM SCHOOL DISTRICT</v>
      </c>
      <c r="D257" s="36">
        <v>0</v>
      </c>
      <c r="E257" s="36">
        <v>0</v>
      </c>
      <c r="F257" s="36">
        <v>0</v>
      </c>
      <c r="G257" s="36">
        <v>4617268.79</v>
      </c>
      <c r="H257" s="36">
        <v>563078.88</v>
      </c>
      <c r="I257" s="36">
        <v>161136.43</v>
      </c>
      <c r="J257" s="36">
        <v>900024.59</v>
      </c>
      <c r="K257" s="36">
        <v>82917.490000000005</v>
      </c>
      <c r="L257" s="36">
        <v>81005.490000000005</v>
      </c>
      <c r="M257" s="36">
        <v>1590258.08</v>
      </c>
      <c r="N257" s="50">
        <v>2.98E-2</v>
      </c>
      <c r="O257" s="53">
        <v>0.1555</v>
      </c>
      <c r="P257" s="36">
        <v>0</v>
      </c>
      <c r="Q257" s="66">
        <v>0</v>
      </c>
      <c r="R257" s="66">
        <v>0</v>
      </c>
      <c r="S257" s="67">
        <v>0</v>
      </c>
      <c r="T257" s="67">
        <v>0</v>
      </c>
      <c r="U257" s="67">
        <v>0</v>
      </c>
      <c r="V257" s="36">
        <v>0</v>
      </c>
      <c r="W257" s="67">
        <v>0</v>
      </c>
      <c r="X257" s="67">
        <v>0</v>
      </c>
      <c r="Y257" s="36">
        <v>0</v>
      </c>
      <c r="Z257" s="36">
        <v>39128.1</v>
      </c>
      <c r="AA257" s="36">
        <v>0</v>
      </c>
      <c r="AB257" s="36">
        <v>519838.67</v>
      </c>
      <c r="AC257" s="36">
        <v>2304460.75</v>
      </c>
      <c r="AD257" s="36">
        <v>235.23</v>
      </c>
      <c r="AE257" s="36">
        <v>2167139.13</v>
      </c>
      <c r="AF257" s="68">
        <f t="shared" si="67"/>
        <v>9212.8518046167574</v>
      </c>
      <c r="AG257" s="68">
        <f t="shared" si="68"/>
        <v>9796.6277685669356</v>
      </c>
      <c r="AH257" s="69">
        <f t="shared" si="69"/>
        <v>583.78</v>
      </c>
      <c r="AI257" s="36">
        <v>54.4</v>
      </c>
      <c r="AJ257" s="36">
        <v>489252.72</v>
      </c>
      <c r="AK257" s="68">
        <f t="shared" si="70"/>
        <v>8993.6161764705885</v>
      </c>
      <c r="AL257" s="68">
        <f t="shared" si="71"/>
        <v>9555.857904411765</v>
      </c>
      <c r="AM257" s="69">
        <f t="shared" si="72"/>
        <v>562.24</v>
      </c>
      <c r="AN257" s="67">
        <v>0</v>
      </c>
      <c r="AO257" s="67">
        <v>0</v>
      </c>
    </row>
    <row r="258" spans="1:41" s="3" customFormat="1" ht="15">
      <c r="A258" s="58" t="s">
        <v>607</v>
      </c>
      <c r="B258" s="58" t="s">
        <v>201</v>
      </c>
      <c r="C258" s="58" t="str">
        <f t="shared" si="74"/>
        <v>28010 SHAW SCHOOL DISTRICT</v>
      </c>
      <c r="D258" s="36">
        <v>0</v>
      </c>
      <c r="E258" s="36">
        <v>0</v>
      </c>
      <c r="F258" s="36">
        <v>0</v>
      </c>
      <c r="G258" s="36">
        <v>12642.68</v>
      </c>
      <c r="H258" s="36">
        <v>0</v>
      </c>
      <c r="I258" s="36">
        <v>0</v>
      </c>
      <c r="J258" s="36">
        <v>0</v>
      </c>
      <c r="K258" s="36">
        <v>0</v>
      </c>
      <c r="L258" s="36">
        <v>360.51</v>
      </c>
      <c r="M258" s="36">
        <v>0</v>
      </c>
      <c r="N258" s="50">
        <v>7.6100000000000001E-2</v>
      </c>
      <c r="O258" s="53">
        <v>0.5403</v>
      </c>
      <c r="P258" s="36">
        <v>0</v>
      </c>
      <c r="Q258" s="66">
        <v>0</v>
      </c>
      <c r="R258" s="66">
        <v>0</v>
      </c>
      <c r="S258" s="67">
        <v>0</v>
      </c>
      <c r="T258" s="67">
        <v>0</v>
      </c>
      <c r="U258" s="67">
        <v>0</v>
      </c>
      <c r="V258" s="36">
        <v>0</v>
      </c>
      <c r="W258" s="67">
        <v>0</v>
      </c>
      <c r="X258" s="67">
        <v>0</v>
      </c>
      <c r="Y258" s="36">
        <v>0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68">
        <f t="shared" si="67"/>
        <v>0</v>
      </c>
      <c r="AG258" s="68">
        <f t="shared" si="68"/>
        <v>0</v>
      </c>
      <c r="AH258" s="69">
        <f t="shared" si="69"/>
        <v>0</v>
      </c>
      <c r="AI258" s="36">
        <v>0</v>
      </c>
      <c r="AJ258" s="36">
        <v>0</v>
      </c>
      <c r="AK258" s="68">
        <f t="shared" si="70"/>
        <v>0</v>
      </c>
      <c r="AL258" s="68">
        <f t="shared" si="71"/>
        <v>0</v>
      </c>
      <c r="AM258" s="69">
        <f t="shared" si="72"/>
        <v>0</v>
      </c>
      <c r="AN258" s="67">
        <v>0</v>
      </c>
      <c r="AO258" s="67">
        <v>0</v>
      </c>
    </row>
    <row r="259" spans="1:41" s="3" customFormat="1" ht="15">
      <c r="A259" s="58" t="s">
        <v>571</v>
      </c>
      <c r="B259" s="58" t="s">
        <v>164</v>
      </c>
      <c r="C259" s="58" t="str">
        <f t="shared" si="74"/>
        <v>23309 SHELTON SCHOOL DISTRICT</v>
      </c>
      <c r="D259" s="36">
        <v>0</v>
      </c>
      <c r="E259" s="36">
        <v>187582.32</v>
      </c>
      <c r="F259" s="36">
        <v>126933.57</v>
      </c>
      <c r="G259" s="36">
        <v>7750677.1900000004</v>
      </c>
      <c r="H259" s="36">
        <v>976451.78</v>
      </c>
      <c r="I259" s="36">
        <v>1324017.3799999999</v>
      </c>
      <c r="J259" s="36">
        <v>1932001.48</v>
      </c>
      <c r="K259" s="36">
        <v>1645453.12</v>
      </c>
      <c r="L259" s="36">
        <v>132048.5</v>
      </c>
      <c r="M259" s="36">
        <v>3516714.04</v>
      </c>
      <c r="N259" s="50">
        <v>9.7999999999999997E-3</v>
      </c>
      <c r="O259" s="53">
        <v>0.15140000000000001</v>
      </c>
      <c r="P259" s="36">
        <v>0</v>
      </c>
      <c r="Q259" s="66">
        <v>0</v>
      </c>
      <c r="R259" s="66">
        <v>0</v>
      </c>
      <c r="S259" s="67">
        <v>143565.85999999999</v>
      </c>
      <c r="T259" s="67">
        <v>13231.406000000001</v>
      </c>
      <c r="U259" s="67">
        <v>5597.93</v>
      </c>
      <c r="V259" s="36">
        <v>0</v>
      </c>
      <c r="W259" s="67">
        <v>0</v>
      </c>
      <c r="X259" s="67">
        <v>0</v>
      </c>
      <c r="Y259" s="36">
        <v>0</v>
      </c>
      <c r="Z259" s="36">
        <v>81142.27</v>
      </c>
      <c r="AA259" s="36">
        <v>327694.05</v>
      </c>
      <c r="AB259" s="36">
        <v>1206825.52</v>
      </c>
      <c r="AC259" s="36">
        <v>6018989.5599999996</v>
      </c>
      <c r="AD259" s="36">
        <v>647.6</v>
      </c>
      <c r="AE259" s="36">
        <v>5729607.4199999999</v>
      </c>
      <c r="AF259" s="68">
        <f t="shared" si="67"/>
        <v>8847.4481470043229</v>
      </c>
      <c r="AG259" s="68">
        <f t="shared" si="68"/>
        <v>9294.3013588634949</v>
      </c>
      <c r="AH259" s="69">
        <f t="shared" si="69"/>
        <v>446.85</v>
      </c>
      <c r="AI259" s="36">
        <v>131.63999999999999</v>
      </c>
      <c r="AJ259" s="36">
        <v>1136031.54</v>
      </c>
      <c r="AK259" s="68">
        <f t="shared" si="70"/>
        <v>8629.8354603464013</v>
      </c>
      <c r="AL259" s="68">
        <f t="shared" si="71"/>
        <v>9167.6201762382261</v>
      </c>
      <c r="AM259" s="69">
        <f t="shared" si="72"/>
        <v>537.78</v>
      </c>
      <c r="AN259" s="67">
        <v>0</v>
      </c>
      <c r="AO259" s="67">
        <v>0</v>
      </c>
    </row>
    <row r="260" spans="1:41" s="3" customFormat="1" ht="15">
      <c r="A260" s="58" t="s">
        <v>523</v>
      </c>
      <c r="B260" s="58" t="s">
        <v>116</v>
      </c>
      <c r="C260" s="58" t="str">
        <f t="shared" si="74"/>
        <v>17412 SHORELINE SCHOOL DISTRICT</v>
      </c>
      <c r="D260" s="36">
        <v>0</v>
      </c>
      <c r="E260" s="36">
        <v>136251.56</v>
      </c>
      <c r="F260" s="36">
        <v>0</v>
      </c>
      <c r="G260" s="36">
        <v>15566331.73</v>
      </c>
      <c r="H260" s="36">
        <v>2628817.25</v>
      </c>
      <c r="I260" s="36">
        <v>0</v>
      </c>
      <c r="J260" s="36">
        <v>2020790.17</v>
      </c>
      <c r="K260" s="36">
        <v>1928753.85</v>
      </c>
      <c r="L260" s="36">
        <v>316529.58</v>
      </c>
      <c r="M260" s="36">
        <v>5077645.5</v>
      </c>
      <c r="N260" s="50">
        <v>3.2099999999999997E-2</v>
      </c>
      <c r="O260" s="53">
        <v>0.12839999999999999</v>
      </c>
      <c r="P260" s="36">
        <v>0</v>
      </c>
      <c r="Q260" s="66">
        <v>0</v>
      </c>
      <c r="R260" s="66">
        <v>0</v>
      </c>
      <c r="S260" s="67">
        <v>0</v>
      </c>
      <c r="T260" s="67">
        <v>0</v>
      </c>
      <c r="U260" s="67">
        <v>0</v>
      </c>
      <c r="V260" s="36">
        <v>247043.37</v>
      </c>
      <c r="W260" s="67">
        <v>0</v>
      </c>
      <c r="X260" s="67">
        <v>10568.49</v>
      </c>
      <c r="Y260" s="36">
        <v>0</v>
      </c>
      <c r="Z260" s="36">
        <v>8305.06</v>
      </c>
      <c r="AA260" s="36">
        <v>335550.37</v>
      </c>
      <c r="AB260" s="36">
        <v>303618.96000000002</v>
      </c>
      <c r="AC260" s="36">
        <v>4523054.55</v>
      </c>
      <c r="AD260" s="36">
        <v>426.74</v>
      </c>
      <c r="AE260" s="36">
        <v>4242650.8600000003</v>
      </c>
      <c r="AF260" s="68">
        <f t="shared" si="67"/>
        <v>9942.0041711580834</v>
      </c>
      <c r="AG260" s="68">
        <f t="shared" si="68"/>
        <v>10599.087383418475</v>
      </c>
      <c r="AH260" s="69">
        <f t="shared" si="69"/>
        <v>657.08</v>
      </c>
      <c r="AI260" s="36">
        <v>29.42</v>
      </c>
      <c r="AJ260" s="36">
        <v>285847.52</v>
      </c>
      <c r="AK260" s="68">
        <f t="shared" si="70"/>
        <v>9716.0951733514612</v>
      </c>
      <c r="AL260" s="68">
        <f t="shared" si="71"/>
        <v>10320.154996600952</v>
      </c>
      <c r="AM260" s="69">
        <f t="shared" si="72"/>
        <v>604.05999999999995</v>
      </c>
      <c r="AN260" s="67">
        <v>0</v>
      </c>
      <c r="AO260" s="67">
        <v>0</v>
      </c>
    </row>
    <row r="261" spans="1:41" s="3" customFormat="1" ht="15">
      <c r="A261" s="58" t="s">
        <v>618</v>
      </c>
      <c r="B261" s="60" t="s">
        <v>212</v>
      </c>
      <c r="C261" s="58" t="str">
        <f t="shared" si="74"/>
        <v>30002 SKAMANIA SCHOOL DISTRICT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23394.3</v>
      </c>
      <c r="K261" s="36">
        <v>0</v>
      </c>
      <c r="L261" s="36">
        <v>2405.0100000000002</v>
      </c>
      <c r="M261" s="36">
        <v>126347.92</v>
      </c>
      <c r="N261" s="50">
        <v>0.1169</v>
      </c>
      <c r="O261" s="53">
        <v>0.40949999999999998</v>
      </c>
      <c r="P261" s="36">
        <v>0</v>
      </c>
      <c r="Q261" s="66">
        <v>0</v>
      </c>
      <c r="R261" s="66">
        <v>0</v>
      </c>
      <c r="S261" s="67">
        <v>0</v>
      </c>
      <c r="T261" s="67">
        <v>0</v>
      </c>
      <c r="U261" s="67">
        <v>0</v>
      </c>
      <c r="V261" s="36">
        <v>0</v>
      </c>
      <c r="W261" s="67">
        <v>0</v>
      </c>
      <c r="X261" s="67">
        <v>0</v>
      </c>
      <c r="Y261" s="36">
        <v>0</v>
      </c>
      <c r="Z261" s="36">
        <v>0</v>
      </c>
      <c r="AA261" s="36">
        <v>0</v>
      </c>
      <c r="AB261" s="36">
        <v>0</v>
      </c>
      <c r="AC261" s="36">
        <v>0</v>
      </c>
      <c r="AD261" s="36">
        <v>0</v>
      </c>
      <c r="AE261" s="36">
        <v>0</v>
      </c>
      <c r="AF261" s="68">
        <f t="shared" si="67"/>
        <v>0</v>
      </c>
      <c r="AG261" s="68">
        <f t="shared" si="68"/>
        <v>0</v>
      </c>
      <c r="AH261" s="69">
        <f t="shared" si="69"/>
        <v>0</v>
      </c>
      <c r="AI261" s="36">
        <v>0</v>
      </c>
      <c r="AJ261" s="36">
        <v>0</v>
      </c>
      <c r="AK261" s="68">
        <f t="shared" si="70"/>
        <v>0</v>
      </c>
      <c r="AL261" s="68">
        <f t="shared" si="71"/>
        <v>0</v>
      </c>
      <c r="AM261" s="69">
        <f t="shared" si="72"/>
        <v>0</v>
      </c>
      <c r="AN261" s="67">
        <v>0</v>
      </c>
      <c r="AO261" s="67">
        <v>0</v>
      </c>
    </row>
    <row r="262" spans="1:41" s="3" customFormat="1" ht="15">
      <c r="A262" s="58" t="s">
        <v>515</v>
      </c>
      <c r="B262" s="58" t="s">
        <v>108</v>
      </c>
      <c r="C262" s="58" t="str">
        <f t="shared" si="74"/>
        <v>17404 SKYKOMISH SCHOOL DISTRICT</v>
      </c>
      <c r="D262" s="36">
        <v>0</v>
      </c>
      <c r="E262" s="36">
        <v>0</v>
      </c>
      <c r="F262" s="36">
        <v>828.8</v>
      </c>
      <c r="G262" s="36">
        <v>90118.95</v>
      </c>
      <c r="H262" s="36">
        <v>14081.18</v>
      </c>
      <c r="I262" s="36">
        <v>12257.41</v>
      </c>
      <c r="J262" s="36">
        <v>20429.02</v>
      </c>
      <c r="K262" s="36">
        <v>0</v>
      </c>
      <c r="L262" s="36">
        <v>0</v>
      </c>
      <c r="M262" s="36">
        <v>37640.03</v>
      </c>
      <c r="N262" s="50">
        <v>4.5400000000000003E-2</v>
      </c>
      <c r="O262" s="53">
        <v>0.3382</v>
      </c>
      <c r="P262" s="36">
        <v>0</v>
      </c>
      <c r="Q262" s="66">
        <v>0</v>
      </c>
      <c r="R262" s="66">
        <v>0</v>
      </c>
      <c r="S262" s="67">
        <v>0</v>
      </c>
      <c r="T262" s="67">
        <v>0</v>
      </c>
      <c r="U262" s="67">
        <v>0</v>
      </c>
      <c r="V262" s="36">
        <v>0</v>
      </c>
      <c r="W262" s="67">
        <v>0</v>
      </c>
      <c r="X262" s="67">
        <v>0</v>
      </c>
      <c r="Y262" s="36">
        <v>0</v>
      </c>
      <c r="Z262" s="36">
        <v>0</v>
      </c>
      <c r="AA262" s="36">
        <v>0</v>
      </c>
      <c r="AB262" s="36">
        <v>0</v>
      </c>
      <c r="AC262" s="36">
        <v>9247.69</v>
      </c>
      <c r="AD262" s="36">
        <v>0.91</v>
      </c>
      <c r="AE262" s="36">
        <v>8989.74</v>
      </c>
      <c r="AF262" s="68">
        <f t="shared" si="67"/>
        <v>9878.8351648351636</v>
      </c>
      <c r="AG262" s="68">
        <f t="shared" si="68"/>
        <v>10162.296703296703</v>
      </c>
      <c r="AH262" s="69">
        <f t="shared" si="69"/>
        <v>283.45999999999998</v>
      </c>
      <c r="AI262" s="36">
        <v>0</v>
      </c>
      <c r="AJ262" s="36">
        <v>0</v>
      </c>
      <c r="AK262" s="68">
        <f t="shared" si="70"/>
        <v>0</v>
      </c>
      <c r="AL262" s="68">
        <f t="shared" si="71"/>
        <v>0</v>
      </c>
      <c r="AM262" s="69">
        <f t="shared" si="72"/>
        <v>0</v>
      </c>
      <c r="AN262" s="67">
        <v>0</v>
      </c>
      <c r="AO262" s="67">
        <v>0</v>
      </c>
    </row>
    <row r="263" spans="1:41" s="3" customFormat="1" ht="15">
      <c r="A263" s="58" t="s">
        <v>630</v>
      </c>
      <c r="B263" s="58" t="s">
        <v>224</v>
      </c>
      <c r="C263" s="58" t="str">
        <f t="shared" si="74"/>
        <v>31201 SNOHOMISH SCHOOL DISTRICT</v>
      </c>
      <c r="D263" s="36">
        <v>0</v>
      </c>
      <c r="E263" s="36">
        <v>135244.96</v>
      </c>
      <c r="F263" s="36">
        <v>0</v>
      </c>
      <c r="G263" s="36">
        <v>16167617.220000001</v>
      </c>
      <c r="H263" s="36">
        <v>2714233.88</v>
      </c>
      <c r="I263" s="36">
        <v>0</v>
      </c>
      <c r="J263" s="36">
        <v>1506024.09</v>
      </c>
      <c r="K263" s="36">
        <v>1116318.08</v>
      </c>
      <c r="L263" s="36">
        <v>334548.25</v>
      </c>
      <c r="M263" s="36">
        <v>6630921.1500000004</v>
      </c>
      <c r="N263" s="50">
        <v>5.11E-2</v>
      </c>
      <c r="O263" s="53">
        <v>0.15640000000000001</v>
      </c>
      <c r="P263" s="36">
        <v>0</v>
      </c>
      <c r="Q263" s="66">
        <v>0</v>
      </c>
      <c r="R263" s="66">
        <v>0</v>
      </c>
      <c r="S263" s="67">
        <v>0</v>
      </c>
      <c r="T263" s="67">
        <v>0</v>
      </c>
      <c r="U263" s="67">
        <v>0</v>
      </c>
      <c r="V263" s="36">
        <v>0</v>
      </c>
      <c r="W263" s="67">
        <v>0</v>
      </c>
      <c r="X263" s="67">
        <v>0</v>
      </c>
      <c r="Y263" s="36">
        <v>0</v>
      </c>
      <c r="Z263" s="36">
        <v>87285.22</v>
      </c>
      <c r="AA263" s="36">
        <v>163807.63</v>
      </c>
      <c r="AB263" s="36">
        <v>1262307.23</v>
      </c>
      <c r="AC263" s="36">
        <v>4719100.9000000004</v>
      </c>
      <c r="AD263" s="36">
        <v>430.12</v>
      </c>
      <c r="AE263" s="36">
        <v>4351514.08</v>
      </c>
      <c r="AF263" s="68">
        <f t="shared" ref="AF263:AF326" si="75">IFERROR(AE263/AD263,0)</f>
        <v>10116.976843671533</v>
      </c>
      <c r="AG263" s="68">
        <f t="shared" ref="AG263:AG326" si="76">IFERROR(AC263/AD263,0)</f>
        <v>10971.591416348927</v>
      </c>
      <c r="AH263" s="69">
        <f t="shared" ref="AH263:AH326" si="77">ROUND(AG263-AF263,2)</f>
        <v>854.61</v>
      </c>
      <c r="AI263" s="36">
        <v>120.06</v>
      </c>
      <c r="AJ263" s="36">
        <v>1188188.6299999999</v>
      </c>
      <c r="AK263" s="68">
        <f t="shared" ref="AK263:AK326" si="78">IFERROR(AJ263/AI263,0)</f>
        <v>9896.6236048642331</v>
      </c>
      <c r="AL263" s="68">
        <f t="shared" ref="AL263:AL326" si="79">IFERROR(AB263/AI263,0)</f>
        <v>10513.969931700816</v>
      </c>
      <c r="AM263" s="69">
        <f t="shared" ref="AM263:AM326" si="80">ROUND(AL263-AK263,2)</f>
        <v>617.35</v>
      </c>
      <c r="AN263" s="67">
        <v>0</v>
      </c>
      <c r="AO263" s="67">
        <v>0</v>
      </c>
    </row>
    <row r="264" spans="1:41" s="3" customFormat="1" ht="15">
      <c r="A264" s="58" t="s">
        <v>521</v>
      </c>
      <c r="B264" s="58" t="s">
        <v>114</v>
      </c>
      <c r="C264" s="58" t="str">
        <f t="shared" si="74"/>
        <v>17410 SNOQUALMIE VALLEY SCHOOL DISTRICT</v>
      </c>
      <c r="D264" s="36">
        <v>0</v>
      </c>
      <c r="E264" s="36">
        <v>0</v>
      </c>
      <c r="F264" s="36">
        <v>0</v>
      </c>
      <c r="G264" s="36">
        <v>9539749.5399999991</v>
      </c>
      <c r="H264" s="36">
        <v>1467739.7</v>
      </c>
      <c r="I264" s="36">
        <v>0</v>
      </c>
      <c r="J264" s="36">
        <v>661419.43000000005</v>
      </c>
      <c r="K264" s="36">
        <v>591401.07999999996</v>
      </c>
      <c r="L264" s="36">
        <v>244427.17</v>
      </c>
      <c r="M264" s="36">
        <v>4045911.67</v>
      </c>
      <c r="N264" s="50">
        <v>3.0599999999999999E-2</v>
      </c>
      <c r="O264" s="53">
        <v>0.16789999999999999</v>
      </c>
      <c r="P264" s="36">
        <v>0</v>
      </c>
      <c r="Q264" s="66">
        <v>0</v>
      </c>
      <c r="R264" s="66">
        <v>0</v>
      </c>
      <c r="S264" s="67">
        <v>0</v>
      </c>
      <c r="T264" s="67">
        <v>0</v>
      </c>
      <c r="U264" s="67">
        <v>0</v>
      </c>
      <c r="V264" s="36">
        <v>0</v>
      </c>
      <c r="W264" s="67">
        <v>0</v>
      </c>
      <c r="X264" s="67">
        <v>0</v>
      </c>
      <c r="Y264" s="36">
        <v>0</v>
      </c>
      <c r="Z264" s="36">
        <v>15539.46</v>
      </c>
      <c r="AA264" s="36">
        <v>310153.03000000003</v>
      </c>
      <c r="AB264" s="36">
        <v>459322.94</v>
      </c>
      <c r="AC264" s="36">
        <v>4810420.2</v>
      </c>
      <c r="AD264" s="36">
        <v>431.74</v>
      </c>
      <c r="AE264" s="36">
        <v>4292399.58</v>
      </c>
      <c r="AF264" s="68">
        <f t="shared" si="75"/>
        <v>9942.0938064575894</v>
      </c>
      <c r="AG264" s="68">
        <f t="shared" si="76"/>
        <v>11141.937740306666</v>
      </c>
      <c r="AH264" s="69">
        <f t="shared" si="77"/>
        <v>1199.8399999999999</v>
      </c>
      <c r="AI264" s="36">
        <v>44.49</v>
      </c>
      <c r="AJ264" s="36">
        <v>432489.26</v>
      </c>
      <c r="AK264" s="68">
        <f t="shared" si="78"/>
        <v>9721.0442796133957</v>
      </c>
      <c r="AL264" s="68">
        <f t="shared" si="79"/>
        <v>10324.183861541918</v>
      </c>
      <c r="AM264" s="69">
        <f t="shared" si="80"/>
        <v>603.14</v>
      </c>
      <c r="AN264" s="67">
        <v>0</v>
      </c>
      <c r="AO264" s="67">
        <v>0</v>
      </c>
    </row>
    <row r="265" spans="1:41" s="3" customFormat="1" ht="15">
      <c r="A265" s="58" t="s">
        <v>481</v>
      </c>
      <c r="B265" s="58" t="s">
        <v>74</v>
      </c>
      <c r="C265" s="58" t="str">
        <f t="shared" si="74"/>
        <v>13156 SOAP LAKE SCHOOL DISTRICT</v>
      </c>
      <c r="D265" s="36">
        <v>0</v>
      </c>
      <c r="E265" s="36">
        <v>29025.71</v>
      </c>
      <c r="F265" s="36">
        <v>11244.84</v>
      </c>
      <c r="G265" s="36">
        <v>867829.67</v>
      </c>
      <c r="H265" s="36">
        <v>186777.99</v>
      </c>
      <c r="I265" s="36">
        <v>150022.06</v>
      </c>
      <c r="J265" s="36">
        <v>275733.05</v>
      </c>
      <c r="K265" s="36">
        <v>210479.19</v>
      </c>
      <c r="L265" s="36">
        <v>14960.67</v>
      </c>
      <c r="M265" s="36">
        <v>407898.34</v>
      </c>
      <c r="N265" s="50">
        <v>5.4100000000000002E-2</v>
      </c>
      <c r="O265" s="53">
        <v>0.2291</v>
      </c>
      <c r="P265" s="36">
        <v>0</v>
      </c>
      <c r="Q265" s="66">
        <v>0</v>
      </c>
      <c r="R265" s="66">
        <v>0</v>
      </c>
      <c r="S265" s="67">
        <v>0</v>
      </c>
      <c r="T265" s="67">
        <v>0</v>
      </c>
      <c r="U265" s="67">
        <v>0</v>
      </c>
      <c r="V265" s="36">
        <v>0</v>
      </c>
      <c r="W265" s="67">
        <v>0</v>
      </c>
      <c r="X265" s="67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171419.18</v>
      </c>
      <c r="AD265" s="36">
        <v>17.16</v>
      </c>
      <c r="AE265" s="36">
        <v>151888.69</v>
      </c>
      <c r="AF265" s="68">
        <f t="shared" si="75"/>
        <v>8851.3222610722605</v>
      </c>
      <c r="AG265" s="68">
        <f t="shared" si="76"/>
        <v>9989.462703962703</v>
      </c>
      <c r="AH265" s="69">
        <f t="shared" si="77"/>
        <v>1138.1400000000001</v>
      </c>
      <c r="AI265" s="36">
        <v>0</v>
      </c>
      <c r="AJ265" s="36">
        <v>0</v>
      </c>
      <c r="AK265" s="68">
        <f t="shared" si="78"/>
        <v>0</v>
      </c>
      <c r="AL265" s="68">
        <f t="shared" si="79"/>
        <v>0</v>
      </c>
      <c r="AM265" s="69">
        <f t="shared" si="80"/>
        <v>0</v>
      </c>
      <c r="AN265" s="67">
        <v>0</v>
      </c>
      <c r="AO265" s="67">
        <v>0</v>
      </c>
    </row>
    <row r="266" spans="1:41" s="3" customFormat="1" ht="15">
      <c r="A266" s="58" t="s">
        <v>586</v>
      </c>
      <c r="B266" s="58" t="s">
        <v>179</v>
      </c>
      <c r="C266" s="58" t="str">
        <f t="shared" si="74"/>
        <v>25118 SOUTH BEND SCHOOL DISTRICT</v>
      </c>
      <c r="D266" s="36">
        <v>0</v>
      </c>
      <c r="E266" s="36">
        <v>0</v>
      </c>
      <c r="F266" s="36">
        <v>0</v>
      </c>
      <c r="G266" s="36">
        <v>891572.43</v>
      </c>
      <c r="H266" s="36">
        <v>194305.1</v>
      </c>
      <c r="I266" s="36">
        <v>167995.61</v>
      </c>
      <c r="J266" s="36">
        <v>251733.68</v>
      </c>
      <c r="K266" s="36">
        <v>138822.35999999999</v>
      </c>
      <c r="L266" s="36">
        <v>15895.69</v>
      </c>
      <c r="M266" s="36">
        <v>573580.23</v>
      </c>
      <c r="N266" s="50">
        <v>4.1000000000000002E-2</v>
      </c>
      <c r="O266" s="53">
        <v>0.1547</v>
      </c>
      <c r="P266" s="36">
        <v>0</v>
      </c>
      <c r="Q266" s="66">
        <v>0</v>
      </c>
      <c r="R266" s="66">
        <v>0</v>
      </c>
      <c r="S266" s="67">
        <v>0</v>
      </c>
      <c r="T266" s="67">
        <v>0</v>
      </c>
      <c r="U266" s="67">
        <v>0</v>
      </c>
      <c r="V266" s="36">
        <v>0</v>
      </c>
      <c r="W266" s="67">
        <v>0</v>
      </c>
      <c r="X266" s="67">
        <v>0</v>
      </c>
      <c r="Y266" s="36">
        <v>0</v>
      </c>
      <c r="Z266" s="36">
        <v>0</v>
      </c>
      <c r="AA266" s="36">
        <v>0</v>
      </c>
      <c r="AB266" s="36">
        <v>23877.95</v>
      </c>
      <c r="AC266" s="36">
        <v>296808.81</v>
      </c>
      <c r="AD266" s="36">
        <v>32.159999999999997</v>
      </c>
      <c r="AE266" s="36">
        <v>284598.7</v>
      </c>
      <c r="AF266" s="68">
        <f t="shared" si="75"/>
        <v>8849.462064676618</v>
      </c>
      <c r="AG266" s="68">
        <f t="shared" si="76"/>
        <v>9229.129664179105</v>
      </c>
      <c r="AH266" s="69">
        <f t="shared" si="77"/>
        <v>379.67</v>
      </c>
      <c r="AI266" s="36">
        <v>2.6</v>
      </c>
      <c r="AJ266" s="36">
        <v>22426.32</v>
      </c>
      <c r="AK266" s="68">
        <f t="shared" si="78"/>
        <v>8625.5076923076922</v>
      </c>
      <c r="AL266" s="68">
        <f t="shared" si="79"/>
        <v>9183.8269230769238</v>
      </c>
      <c r="AM266" s="69">
        <f t="shared" si="80"/>
        <v>558.32000000000005</v>
      </c>
      <c r="AN266" s="67">
        <v>0</v>
      </c>
      <c r="AO266" s="67">
        <v>0</v>
      </c>
    </row>
    <row r="267" spans="1:41" s="3" customFormat="1" ht="15">
      <c r="A267" s="58" t="s">
        <v>531</v>
      </c>
      <c r="B267" s="58" t="s">
        <v>124</v>
      </c>
      <c r="C267" s="58" t="str">
        <f t="shared" si="74"/>
        <v>18402 SOUTH KITSAP SCHOOL DISTRICT</v>
      </c>
      <c r="D267" s="36">
        <v>0</v>
      </c>
      <c r="E267" s="36">
        <v>229036.76</v>
      </c>
      <c r="F267" s="36">
        <v>0</v>
      </c>
      <c r="G267" s="36">
        <v>18166628.98</v>
      </c>
      <c r="H267" s="36">
        <v>3954401.2</v>
      </c>
      <c r="I267" s="36">
        <v>470348.05</v>
      </c>
      <c r="J267" s="36">
        <v>2729076.16</v>
      </c>
      <c r="K267" s="36">
        <v>532485.28</v>
      </c>
      <c r="L267" s="36">
        <v>317370.76</v>
      </c>
      <c r="M267" s="36">
        <v>7529253.4500000002</v>
      </c>
      <c r="N267" s="50">
        <v>4.2200000000000001E-2</v>
      </c>
      <c r="O267" s="53">
        <v>0.14610000000000001</v>
      </c>
      <c r="P267" s="36">
        <v>0</v>
      </c>
      <c r="Q267" s="66">
        <v>0</v>
      </c>
      <c r="R267" s="66">
        <v>0</v>
      </c>
      <c r="S267" s="67">
        <v>0</v>
      </c>
      <c r="T267" s="67">
        <v>0</v>
      </c>
      <c r="U267" s="67">
        <v>0</v>
      </c>
      <c r="V267" s="36">
        <v>0</v>
      </c>
      <c r="W267" s="67">
        <v>0</v>
      </c>
      <c r="X267" s="67">
        <v>0</v>
      </c>
      <c r="Y267" s="36">
        <v>0</v>
      </c>
      <c r="Z267" s="36">
        <v>165142.9</v>
      </c>
      <c r="AA267" s="36">
        <v>0</v>
      </c>
      <c r="AB267" s="36">
        <v>3445798.47</v>
      </c>
      <c r="AC267" s="36">
        <v>7162353.9500000002</v>
      </c>
      <c r="AD267" s="36">
        <v>679.37</v>
      </c>
      <c r="AE267" s="36">
        <v>6754315.1299999999</v>
      </c>
      <c r="AF267" s="68">
        <f t="shared" si="75"/>
        <v>9942.0273635868525</v>
      </c>
      <c r="AG267" s="68">
        <f t="shared" si="76"/>
        <v>10542.640902600939</v>
      </c>
      <c r="AH267" s="69">
        <f t="shared" si="77"/>
        <v>600.61</v>
      </c>
      <c r="AI267" s="36">
        <v>333.77</v>
      </c>
      <c r="AJ267" s="36">
        <v>3244802.8</v>
      </c>
      <c r="AK267" s="68">
        <f t="shared" si="78"/>
        <v>9721.6730083590501</v>
      </c>
      <c r="AL267" s="68">
        <f t="shared" si="79"/>
        <v>10323.871138808163</v>
      </c>
      <c r="AM267" s="69">
        <f t="shared" si="80"/>
        <v>602.20000000000005</v>
      </c>
      <c r="AN267" s="67">
        <v>0</v>
      </c>
      <c r="AO267" s="67">
        <v>0</v>
      </c>
    </row>
    <row r="268" spans="1:41" s="3" customFormat="1" ht="15">
      <c r="A268" s="58" t="s">
        <v>502</v>
      </c>
      <c r="B268" s="58" t="s">
        <v>95</v>
      </c>
      <c r="C268" s="58" t="str">
        <f t="shared" si="74"/>
        <v>15206 SOUTH WHIDBEY SCHOOL DISTRICT</v>
      </c>
      <c r="D268" s="36">
        <v>0</v>
      </c>
      <c r="E268" s="36">
        <v>0</v>
      </c>
      <c r="F268" s="36">
        <v>0</v>
      </c>
      <c r="G268" s="36">
        <v>2189140.69</v>
      </c>
      <c r="H268" s="36">
        <v>366735.77</v>
      </c>
      <c r="I268" s="36">
        <v>9513.65</v>
      </c>
      <c r="J268" s="36">
        <v>295045.33</v>
      </c>
      <c r="K268" s="36">
        <v>18214.990000000002</v>
      </c>
      <c r="L268" s="36">
        <v>40006.15</v>
      </c>
      <c r="M268" s="36">
        <v>839928.74</v>
      </c>
      <c r="N268" s="50">
        <v>4.0800000000000003E-2</v>
      </c>
      <c r="O268" s="53">
        <v>0.18290000000000001</v>
      </c>
      <c r="P268" s="36">
        <v>0</v>
      </c>
      <c r="Q268" s="66">
        <v>0</v>
      </c>
      <c r="R268" s="66">
        <v>0</v>
      </c>
      <c r="S268" s="67">
        <v>0</v>
      </c>
      <c r="T268" s="67">
        <v>0</v>
      </c>
      <c r="U268" s="67">
        <v>0</v>
      </c>
      <c r="V268" s="36">
        <v>0</v>
      </c>
      <c r="W268" s="67">
        <v>0</v>
      </c>
      <c r="X268" s="67">
        <v>0</v>
      </c>
      <c r="Y268" s="36">
        <v>0</v>
      </c>
      <c r="Z268" s="36">
        <v>0</v>
      </c>
      <c r="AA268" s="36">
        <v>28524.76</v>
      </c>
      <c r="AB268" s="36">
        <v>0</v>
      </c>
      <c r="AC268" s="36">
        <v>643103.79</v>
      </c>
      <c r="AD268" s="36">
        <v>59.54</v>
      </c>
      <c r="AE268" s="36">
        <v>597348.05000000005</v>
      </c>
      <c r="AF268" s="68">
        <f t="shared" si="75"/>
        <v>10032.718340611355</v>
      </c>
      <c r="AG268" s="68">
        <f t="shared" si="76"/>
        <v>10801.205744037623</v>
      </c>
      <c r="AH268" s="69">
        <f t="shared" si="77"/>
        <v>768.49</v>
      </c>
      <c r="AI268" s="36">
        <v>0</v>
      </c>
      <c r="AJ268" s="36">
        <v>0</v>
      </c>
      <c r="AK268" s="68">
        <f t="shared" si="78"/>
        <v>0</v>
      </c>
      <c r="AL268" s="68">
        <f t="shared" si="79"/>
        <v>0</v>
      </c>
      <c r="AM268" s="69">
        <f t="shared" si="80"/>
        <v>0</v>
      </c>
      <c r="AN268" s="67">
        <v>0</v>
      </c>
      <c r="AO268" s="67">
        <v>0</v>
      </c>
    </row>
    <row r="269" spans="1:41" s="3" customFormat="1" ht="15">
      <c r="A269" s="58" t="s">
        <v>569</v>
      </c>
      <c r="B269" s="58" t="s">
        <v>162</v>
      </c>
      <c r="C269" s="58" t="str">
        <f t="shared" si="74"/>
        <v>23042 SOUTHSIDE SCHOOL DISTRICT</v>
      </c>
      <c r="D269" s="36">
        <v>0</v>
      </c>
      <c r="E269" s="36">
        <v>0</v>
      </c>
      <c r="F269" s="36">
        <v>0</v>
      </c>
      <c r="G269" s="36">
        <v>439758.18</v>
      </c>
      <c r="H269" s="36">
        <v>36314.949999999997</v>
      </c>
      <c r="I269" s="36">
        <v>0</v>
      </c>
      <c r="J269" s="36">
        <v>63998.32</v>
      </c>
      <c r="K269" s="36">
        <v>14086.38</v>
      </c>
      <c r="L269" s="36">
        <v>6337.5</v>
      </c>
      <c r="M269" s="36">
        <v>150104.39000000001</v>
      </c>
      <c r="N269" s="50">
        <v>4.3499999999999997E-2</v>
      </c>
      <c r="O269" s="53">
        <v>0.34100000000000003</v>
      </c>
      <c r="P269" s="36">
        <v>0</v>
      </c>
      <c r="Q269" s="66">
        <v>0</v>
      </c>
      <c r="R269" s="66">
        <v>0</v>
      </c>
      <c r="S269" s="67">
        <v>0</v>
      </c>
      <c r="T269" s="67">
        <v>0</v>
      </c>
      <c r="U269" s="67">
        <v>0</v>
      </c>
      <c r="V269" s="36">
        <v>0</v>
      </c>
      <c r="W269" s="67">
        <v>0</v>
      </c>
      <c r="X269" s="67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68">
        <f t="shared" si="75"/>
        <v>0</v>
      </c>
      <c r="AG269" s="68">
        <f t="shared" si="76"/>
        <v>0</v>
      </c>
      <c r="AH269" s="69">
        <f t="shared" si="77"/>
        <v>0</v>
      </c>
      <c r="AI269" s="36">
        <v>0</v>
      </c>
      <c r="AJ269" s="36">
        <v>0</v>
      </c>
      <c r="AK269" s="68">
        <f t="shared" si="78"/>
        <v>0</v>
      </c>
      <c r="AL269" s="68">
        <f t="shared" si="79"/>
        <v>0</v>
      </c>
      <c r="AM269" s="69">
        <f t="shared" si="80"/>
        <v>0</v>
      </c>
      <c r="AN269" s="67">
        <v>0</v>
      </c>
      <c r="AO269" s="67">
        <v>0</v>
      </c>
    </row>
    <row r="270" spans="1:41" s="3" customFormat="1" ht="15">
      <c r="A270" s="58" t="s">
        <v>636</v>
      </c>
      <c r="B270" s="58" t="s">
        <v>230</v>
      </c>
      <c r="C270" s="58" t="str">
        <f t="shared" si="74"/>
        <v>32081 SPOKANE SCHOOL DISTRICT</v>
      </c>
      <c r="D270" s="36">
        <v>0</v>
      </c>
      <c r="E270" s="36">
        <v>906641.23</v>
      </c>
      <c r="F270" s="36">
        <v>445945.43</v>
      </c>
      <c r="G270" s="36">
        <v>49594228.100000001</v>
      </c>
      <c r="H270" s="36">
        <v>10086620.35</v>
      </c>
      <c r="I270" s="36">
        <v>5523300.6500000004</v>
      </c>
      <c r="J270" s="36">
        <v>11518857.289999999</v>
      </c>
      <c r="K270" s="36">
        <v>3720514.98</v>
      </c>
      <c r="L270" s="36">
        <v>866100.86</v>
      </c>
      <c r="M270" s="36">
        <v>12256273.890000001</v>
      </c>
      <c r="N270" s="50">
        <v>2.7799999999999998E-2</v>
      </c>
      <c r="O270" s="53">
        <v>0.1147</v>
      </c>
      <c r="P270" s="36">
        <v>0</v>
      </c>
      <c r="Q270" s="66">
        <v>0</v>
      </c>
      <c r="R270" s="66">
        <v>0</v>
      </c>
      <c r="S270" s="67">
        <v>0</v>
      </c>
      <c r="T270" s="67">
        <v>0</v>
      </c>
      <c r="U270" s="67">
        <v>0</v>
      </c>
      <c r="V270" s="36">
        <v>0</v>
      </c>
      <c r="W270" s="67">
        <v>0</v>
      </c>
      <c r="X270" s="67">
        <v>0</v>
      </c>
      <c r="Y270" s="36">
        <v>0</v>
      </c>
      <c r="Z270" s="36">
        <v>187619.98</v>
      </c>
      <c r="AA270" s="36">
        <v>0</v>
      </c>
      <c r="AB270" s="36">
        <v>2450992.38</v>
      </c>
      <c r="AC270" s="36">
        <v>11098414.57</v>
      </c>
      <c r="AD270" s="36">
        <v>1176.6300000000001</v>
      </c>
      <c r="AE270" s="36">
        <v>10517598.949999999</v>
      </c>
      <c r="AF270" s="68">
        <f t="shared" si="75"/>
        <v>8938.7479071585785</v>
      </c>
      <c r="AG270" s="68">
        <f t="shared" si="76"/>
        <v>9432.3742977826496</v>
      </c>
      <c r="AH270" s="69">
        <f t="shared" si="77"/>
        <v>493.63</v>
      </c>
      <c r="AI270" s="36">
        <v>264.55</v>
      </c>
      <c r="AJ270" s="36">
        <v>2307232.83</v>
      </c>
      <c r="AK270" s="68">
        <f t="shared" si="78"/>
        <v>8721.3488187488183</v>
      </c>
      <c r="AL270" s="68">
        <f t="shared" si="79"/>
        <v>9264.7604611604602</v>
      </c>
      <c r="AM270" s="69">
        <f t="shared" si="80"/>
        <v>543.41</v>
      </c>
      <c r="AN270" s="67">
        <v>0</v>
      </c>
      <c r="AO270" s="67">
        <v>0</v>
      </c>
    </row>
    <row r="271" spans="1:41" s="3" customFormat="1" ht="15">
      <c r="A271" s="58" t="s">
        <v>778</v>
      </c>
      <c r="B271" s="58" t="s">
        <v>417</v>
      </c>
      <c r="C271" s="61" t="str">
        <f>CONCATENATE(B271," ",A271," CHARTER")</f>
        <v>32901 SPOKANE INT'L CHARTER</v>
      </c>
      <c r="D271" s="36">
        <v>11563.78</v>
      </c>
      <c r="E271" s="36">
        <v>23167.57</v>
      </c>
      <c r="F271" s="36">
        <v>0</v>
      </c>
      <c r="G271" s="36">
        <v>1060397.5900000001</v>
      </c>
      <c r="H271" s="36">
        <v>68249</v>
      </c>
      <c r="I271" s="36">
        <v>0</v>
      </c>
      <c r="J271" s="36">
        <v>235549.13</v>
      </c>
      <c r="K271" s="36">
        <v>70834.460000000006</v>
      </c>
      <c r="L271" s="36">
        <v>23049.71</v>
      </c>
      <c r="M271" s="36">
        <v>523971.72</v>
      </c>
      <c r="N271" s="50">
        <v>1.67E-2</v>
      </c>
      <c r="O271" s="54">
        <v>0.42970000000000003</v>
      </c>
      <c r="P271" s="36">
        <v>0</v>
      </c>
      <c r="Q271" s="66">
        <v>0</v>
      </c>
      <c r="R271" s="66">
        <v>0</v>
      </c>
      <c r="S271" s="67">
        <v>0</v>
      </c>
      <c r="T271" s="67">
        <v>0</v>
      </c>
      <c r="U271" s="67">
        <v>0</v>
      </c>
      <c r="V271" s="36">
        <v>0</v>
      </c>
      <c r="W271" s="67">
        <v>0</v>
      </c>
      <c r="X271" s="67">
        <v>0</v>
      </c>
      <c r="Y271" s="36">
        <v>0</v>
      </c>
      <c r="Z271" s="36">
        <v>0</v>
      </c>
      <c r="AA271" s="36">
        <v>0</v>
      </c>
      <c r="AB271" s="36">
        <v>0</v>
      </c>
      <c r="AC271" s="36">
        <v>4193.42</v>
      </c>
      <c r="AD271" s="36">
        <v>0</v>
      </c>
      <c r="AE271" s="36">
        <v>0</v>
      </c>
      <c r="AF271" s="68">
        <f t="shared" si="75"/>
        <v>0</v>
      </c>
      <c r="AG271" s="68">
        <f t="shared" si="76"/>
        <v>0</v>
      </c>
      <c r="AH271" s="69">
        <f t="shared" si="77"/>
        <v>0</v>
      </c>
      <c r="AI271" s="36">
        <v>0</v>
      </c>
      <c r="AJ271" s="36">
        <v>0</v>
      </c>
      <c r="AK271" s="68">
        <f t="shared" si="78"/>
        <v>0</v>
      </c>
      <c r="AL271" s="68">
        <f t="shared" si="79"/>
        <v>0</v>
      </c>
      <c r="AM271" s="69">
        <f t="shared" si="80"/>
        <v>0</v>
      </c>
      <c r="AN271" s="67">
        <v>0</v>
      </c>
      <c r="AO271" s="67">
        <v>0</v>
      </c>
    </row>
    <row r="272" spans="1:41" s="3" customFormat="1" ht="15">
      <c r="A272" s="58" t="s">
        <v>561</v>
      </c>
      <c r="B272" s="58" t="s">
        <v>154</v>
      </c>
      <c r="C272" s="58" t="str">
        <f t="shared" ref="C272:C282" si="81">CONCATENATE(B272," ",A272," SCHOOL DISTRICT")</f>
        <v>22008 SPRAGUE SCHOOL DISTRICT</v>
      </c>
      <c r="D272" s="36">
        <v>0</v>
      </c>
      <c r="E272" s="36">
        <v>0</v>
      </c>
      <c r="F272" s="36">
        <v>590.92999999999995</v>
      </c>
      <c r="G272" s="36">
        <v>113840.2</v>
      </c>
      <c r="H272" s="36">
        <v>14449.13</v>
      </c>
      <c r="I272" s="36">
        <v>10804.93</v>
      </c>
      <c r="J272" s="36">
        <v>29090.15</v>
      </c>
      <c r="K272" s="36">
        <v>0</v>
      </c>
      <c r="L272" s="36">
        <v>1870.08</v>
      </c>
      <c r="M272" s="36">
        <v>165699.63</v>
      </c>
      <c r="N272" s="50">
        <v>4.82E-2</v>
      </c>
      <c r="O272" s="53">
        <v>0.1943</v>
      </c>
      <c r="P272" s="36">
        <v>0</v>
      </c>
      <c r="Q272" s="66">
        <v>0</v>
      </c>
      <c r="R272" s="66">
        <v>0</v>
      </c>
      <c r="S272" s="67">
        <v>0</v>
      </c>
      <c r="T272" s="67">
        <v>0</v>
      </c>
      <c r="U272" s="67">
        <v>0</v>
      </c>
      <c r="V272" s="36">
        <v>0</v>
      </c>
      <c r="W272" s="67">
        <v>0</v>
      </c>
      <c r="X272" s="67">
        <v>0</v>
      </c>
      <c r="Y272" s="36">
        <v>0</v>
      </c>
      <c r="Z272" s="36">
        <v>0</v>
      </c>
      <c r="AA272" s="36">
        <v>0</v>
      </c>
      <c r="AB272" s="36">
        <v>0</v>
      </c>
      <c r="AC272" s="36">
        <v>52924.39</v>
      </c>
      <c r="AD272" s="36">
        <v>5.77</v>
      </c>
      <c r="AE272" s="36">
        <v>51007.68</v>
      </c>
      <c r="AF272" s="68">
        <f t="shared" si="75"/>
        <v>8840.1525129982674</v>
      </c>
      <c r="AG272" s="68">
        <f t="shared" si="76"/>
        <v>9172.3379549393412</v>
      </c>
      <c r="AH272" s="69">
        <f t="shared" si="77"/>
        <v>332.19</v>
      </c>
      <c r="AI272" s="36">
        <v>0</v>
      </c>
      <c r="AJ272" s="36">
        <v>0</v>
      </c>
      <c r="AK272" s="68">
        <f t="shared" si="78"/>
        <v>0</v>
      </c>
      <c r="AL272" s="68">
        <f t="shared" si="79"/>
        <v>0</v>
      </c>
      <c r="AM272" s="69">
        <f t="shared" si="80"/>
        <v>0</v>
      </c>
      <c r="AN272" s="67">
        <v>0</v>
      </c>
      <c r="AO272" s="67">
        <v>0</v>
      </c>
    </row>
    <row r="273" spans="1:41" s="3" customFormat="1" ht="15">
      <c r="A273" s="58" t="s">
        <v>693</v>
      </c>
      <c r="B273" s="58" t="s">
        <v>290</v>
      </c>
      <c r="C273" s="58" t="str">
        <f t="shared" si="81"/>
        <v>38322 ST JOHN SCHOOL DISTRICT</v>
      </c>
      <c r="D273" s="36">
        <v>0</v>
      </c>
      <c r="E273" s="36">
        <v>0</v>
      </c>
      <c r="F273" s="36">
        <v>0</v>
      </c>
      <c r="G273" s="36">
        <v>214144.28</v>
      </c>
      <c r="H273" s="36">
        <v>27787.93</v>
      </c>
      <c r="I273" s="36">
        <v>21505.93</v>
      </c>
      <c r="J273" s="36">
        <v>46336.43</v>
      </c>
      <c r="K273" s="36">
        <v>0</v>
      </c>
      <c r="L273" s="36">
        <v>3947.95</v>
      </c>
      <c r="M273" s="36">
        <v>417171.74</v>
      </c>
      <c r="N273" s="50">
        <v>3.5400000000000001E-2</v>
      </c>
      <c r="O273" s="53">
        <v>0.22420000000000001</v>
      </c>
      <c r="P273" s="36">
        <v>0</v>
      </c>
      <c r="Q273" s="66">
        <v>0</v>
      </c>
      <c r="R273" s="66">
        <v>0</v>
      </c>
      <c r="S273" s="67">
        <v>0</v>
      </c>
      <c r="T273" s="67">
        <v>0</v>
      </c>
      <c r="U273" s="67">
        <v>0</v>
      </c>
      <c r="V273" s="36">
        <v>0</v>
      </c>
      <c r="W273" s="67">
        <v>0</v>
      </c>
      <c r="X273" s="67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103647.27</v>
      </c>
      <c r="AD273" s="36">
        <v>11.3</v>
      </c>
      <c r="AE273" s="36">
        <v>99849.48</v>
      </c>
      <c r="AF273" s="68">
        <f t="shared" si="75"/>
        <v>8836.2371681415916</v>
      </c>
      <c r="AG273" s="68">
        <f t="shared" si="76"/>
        <v>9172.3247787610617</v>
      </c>
      <c r="AH273" s="69">
        <f t="shared" si="77"/>
        <v>336.09</v>
      </c>
      <c r="AI273" s="36">
        <v>0</v>
      </c>
      <c r="AJ273" s="36">
        <v>0</v>
      </c>
      <c r="AK273" s="68">
        <f t="shared" si="78"/>
        <v>0</v>
      </c>
      <c r="AL273" s="68">
        <f t="shared" si="79"/>
        <v>0</v>
      </c>
      <c r="AM273" s="69">
        <f t="shared" si="80"/>
        <v>0</v>
      </c>
      <c r="AN273" s="67">
        <v>0</v>
      </c>
      <c r="AO273" s="67">
        <v>0</v>
      </c>
    </row>
    <row r="274" spans="1:41" s="3" customFormat="1" ht="15">
      <c r="A274" s="58" t="s">
        <v>635</v>
      </c>
      <c r="B274" s="58" t="s">
        <v>229</v>
      </c>
      <c r="C274" s="58" t="str">
        <f t="shared" si="81"/>
        <v>31401 STANWOOD SCHOOL DISTRICT</v>
      </c>
      <c r="D274" s="36">
        <v>0</v>
      </c>
      <c r="E274" s="36">
        <v>101743.69</v>
      </c>
      <c r="F274" s="36">
        <v>0</v>
      </c>
      <c r="G274" s="36">
        <v>9217686.0899999999</v>
      </c>
      <c r="H274" s="36">
        <v>1756956.74</v>
      </c>
      <c r="I274" s="36">
        <v>0</v>
      </c>
      <c r="J274" s="36">
        <v>1081488.73</v>
      </c>
      <c r="K274" s="36">
        <v>276960.17</v>
      </c>
      <c r="L274" s="36">
        <v>162432.79</v>
      </c>
      <c r="M274" s="36">
        <v>3565788.25</v>
      </c>
      <c r="N274" s="50">
        <v>5.3199999999999997E-2</v>
      </c>
      <c r="O274" s="53">
        <v>0.1447</v>
      </c>
      <c r="P274" s="36">
        <v>0</v>
      </c>
      <c r="Q274" s="66">
        <v>0</v>
      </c>
      <c r="R274" s="66">
        <v>0</v>
      </c>
      <c r="S274" s="67">
        <v>0</v>
      </c>
      <c r="T274" s="67">
        <v>0</v>
      </c>
      <c r="U274" s="67">
        <v>0</v>
      </c>
      <c r="V274" s="36">
        <v>0</v>
      </c>
      <c r="W274" s="67">
        <v>0</v>
      </c>
      <c r="X274" s="67">
        <v>0</v>
      </c>
      <c r="Y274" s="36">
        <v>0</v>
      </c>
      <c r="Z274" s="36">
        <v>1476.82</v>
      </c>
      <c r="AA274" s="36">
        <v>119628.69</v>
      </c>
      <c r="AB274" s="36">
        <v>749221.36</v>
      </c>
      <c r="AC274" s="36">
        <v>3973376.84</v>
      </c>
      <c r="AD274" s="36">
        <v>381.05</v>
      </c>
      <c r="AE274" s="36">
        <v>3750892.1</v>
      </c>
      <c r="AF274" s="68">
        <f t="shared" si="75"/>
        <v>9843.5693478546127</v>
      </c>
      <c r="AG274" s="68">
        <f t="shared" si="76"/>
        <v>10427.442172943183</v>
      </c>
      <c r="AH274" s="69">
        <f t="shared" si="77"/>
        <v>583.87</v>
      </c>
      <c r="AI274" s="36">
        <v>73.28</v>
      </c>
      <c r="AJ274" s="36">
        <v>705307.86</v>
      </c>
      <c r="AK274" s="68">
        <f t="shared" si="78"/>
        <v>9624.8343340611355</v>
      </c>
      <c r="AL274" s="68">
        <f t="shared" si="79"/>
        <v>10224.090611353711</v>
      </c>
      <c r="AM274" s="69">
        <f t="shared" si="80"/>
        <v>599.26</v>
      </c>
      <c r="AN274" s="67">
        <v>0</v>
      </c>
      <c r="AO274" s="67">
        <v>0</v>
      </c>
    </row>
    <row r="275" spans="1:41" s="3" customFormat="1" ht="15">
      <c r="A275" s="58" t="s">
        <v>474</v>
      </c>
      <c r="B275" s="58" t="s">
        <v>67</v>
      </c>
      <c r="C275" s="58" t="str">
        <f t="shared" si="81"/>
        <v>11054 STAR SCHOOL DISTRICT</v>
      </c>
      <c r="D275" s="36">
        <v>1094.98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113100.9</v>
      </c>
      <c r="N275" s="50">
        <v>4.2599999999999999E-2</v>
      </c>
      <c r="O275" s="53">
        <v>0.22370000000000001</v>
      </c>
      <c r="P275" s="36">
        <v>0</v>
      </c>
      <c r="Q275" s="66">
        <v>0</v>
      </c>
      <c r="R275" s="66">
        <v>0</v>
      </c>
      <c r="S275" s="67">
        <v>0</v>
      </c>
      <c r="T275" s="67">
        <v>0</v>
      </c>
      <c r="U275" s="67">
        <v>0</v>
      </c>
      <c r="V275" s="36">
        <v>0</v>
      </c>
      <c r="W275" s="67">
        <v>0</v>
      </c>
      <c r="X275" s="67">
        <v>0</v>
      </c>
      <c r="Y275" s="36">
        <v>0</v>
      </c>
      <c r="Z275" s="36">
        <v>0</v>
      </c>
      <c r="AA275" s="36">
        <v>0</v>
      </c>
      <c r="AB275" s="36">
        <v>0</v>
      </c>
      <c r="AC275" s="36">
        <v>0</v>
      </c>
      <c r="AD275" s="36">
        <v>0</v>
      </c>
      <c r="AE275" s="36">
        <v>0</v>
      </c>
      <c r="AF275" s="68">
        <f t="shared" si="75"/>
        <v>0</v>
      </c>
      <c r="AG275" s="68">
        <f t="shared" si="76"/>
        <v>0</v>
      </c>
      <c r="AH275" s="69">
        <f t="shared" si="77"/>
        <v>0</v>
      </c>
      <c r="AI275" s="36">
        <v>0</v>
      </c>
      <c r="AJ275" s="36">
        <v>0</v>
      </c>
      <c r="AK275" s="68">
        <f t="shared" si="78"/>
        <v>0</v>
      </c>
      <c r="AL275" s="68">
        <f t="shared" si="79"/>
        <v>0</v>
      </c>
      <c r="AM275" s="69">
        <f t="shared" si="80"/>
        <v>0</v>
      </c>
      <c r="AN275" s="67">
        <v>0</v>
      </c>
      <c r="AO275" s="67">
        <v>0</v>
      </c>
    </row>
    <row r="276" spans="1:41" s="3" customFormat="1" ht="15">
      <c r="A276" s="58" t="s">
        <v>454</v>
      </c>
      <c r="B276" s="58" t="s">
        <v>47</v>
      </c>
      <c r="C276" s="58" t="str">
        <f t="shared" si="81"/>
        <v>07035 STARBUCK SCHOOL DISTRICT</v>
      </c>
      <c r="D276" s="36">
        <v>0</v>
      </c>
      <c r="E276" s="36">
        <v>17431.18</v>
      </c>
      <c r="F276" s="36">
        <v>0</v>
      </c>
      <c r="G276" s="36">
        <v>1063453.3700000001</v>
      </c>
      <c r="H276" s="36">
        <v>0</v>
      </c>
      <c r="I276" s="36">
        <v>7688.12</v>
      </c>
      <c r="J276" s="36">
        <v>231266.67</v>
      </c>
      <c r="K276" s="36">
        <v>0</v>
      </c>
      <c r="L276" s="36">
        <v>0</v>
      </c>
      <c r="M276" s="36">
        <v>58302.21</v>
      </c>
      <c r="N276" s="50">
        <v>0</v>
      </c>
      <c r="O276" s="53">
        <v>6.59E-2</v>
      </c>
      <c r="P276" s="36">
        <v>0</v>
      </c>
      <c r="Q276" s="66">
        <v>0</v>
      </c>
      <c r="R276" s="66">
        <v>0</v>
      </c>
      <c r="S276" s="67">
        <v>0</v>
      </c>
      <c r="T276" s="67">
        <v>0</v>
      </c>
      <c r="U276" s="67">
        <v>0</v>
      </c>
      <c r="V276" s="36">
        <v>0</v>
      </c>
      <c r="W276" s="67">
        <v>0</v>
      </c>
      <c r="X276" s="67">
        <v>0</v>
      </c>
      <c r="Y276" s="36">
        <v>0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68">
        <f t="shared" si="75"/>
        <v>0</v>
      </c>
      <c r="AG276" s="68">
        <f t="shared" si="76"/>
        <v>0</v>
      </c>
      <c r="AH276" s="69">
        <f t="shared" si="77"/>
        <v>0</v>
      </c>
      <c r="AI276" s="36">
        <v>0</v>
      </c>
      <c r="AJ276" s="36">
        <v>0</v>
      </c>
      <c r="AK276" s="68">
        <f t="shared" si="78"/>
        <v>0</v>
      </c>
      <c r="AL276" s="68">
        <f t="shared" si="79"/>
        <v>0</v>
      </c>
      <c r="AM276" s="69">
        <f t="shared" si="80"/>
        <v>0</v>
      </c>
      <c r="AN276" s="67">
        <v>0</v>
      </c>
      <c r="AO276" s="67">
        <v>0</v>
      </c>
    </row>
    <row r="277" spans="1:41" s="3" customFormat="1" ht="15">
      <c r="A277" s="58" t="s">
        <v>433</v>
      </c>
      <c r="B277" s="58" t="s">
        <v>26</v>
      </c>
      <c r="C277" s="58" t="str">
        <f t="shared" si="81"/>
        <v>04069 STEHEKIN SCHOOL DISTRICT</v>
      </c>
      <c r="D277" s="36">
        <v>0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50">
        <v>9.7699999999999995E-2</v>
      </c>
      <c r="O277" s="53">
        <v>0.72540000000000004</v>
      </c>
      <c r="P277" s="36">
        <v>0</v>
      </c>
      <c r="Q277" s="66">
        <v>0</v>
      </c>
      <c r="R277" s="66">
        <v>0</v>
      </c>
      <c r="S277" s="67">
        <v>0</v>
      </c>
      <c r="T277" s="67">
        <v>0</v>
      </c>
      <c r="U277" s="67">
        <v>0</v>
      </c>
      <c r="V277" s="36">
        <v>0</v>
      </c>
      <c r="W277" s="67">
        <v>0</v>
      </c>
      <c r="X277" s="67">
        <v>0</v>
      </c>
      <c r="Y277" s="36">
        <v>0</v>
      </c>
      <c r="Z277" s="36">
        <v>0</v>
      </c>
      <c r="AA277" s="36">
        <v>0</v>
      </c>
      <c r="AB277" s="36">
        <v>0</v>
      </c>
      <c r="AC277" s="36">
        <v>0</v>
      </c>
      <c r="AD277" s="36">
        <v>0</v>
      </c>
      <c r="AE277" s="36">
        <v>0</v>
      </c>
      <c r="AF277" s="68">
        <f t="shared" si="75"/>
        <v>0</v>
      </c>
      <c r="AG277" s="68">
        <f t="shared" si="76"/>
        <v>0</v>
      </c>
      <c r="AH277" s="69">
        <f t="shared" si="77"/>
        <v>0</v>
      </c>
      <c r="AI277" s="36">
        <v>0</v>
      </c>
      <c r="AJ277" s="36">
        <v>0</v>
      </c>
      <c r="AK277" s="68">
        <f t="shared" si="78"/>
        <v>0</v>
      </c>
      <c r="AL277" s="68">
        <f t="shared" si="79"/>
        <v>0</v>
      </c>
      <c r="AM277" s="69">
        <f t="shared" si="80"/>
        <v>0</v>
      </c>
      <c r="AN277" s="67">
        <v>0</v>
      </c>
      <c r="AO277" s="67">
        <v>0</v>
      </c>
    </row>
    <row r="278" spans="1:41" s="3" customFormat="1" ht="15">
      <c r="A278" s="58" t="s">
        <v>592</v>
      </c>
      <c r="B278" s="58" t="s">
        <v>186</v>
      </c>
      <c r="C278" s="58" t="str">
        <f t="shared" si="81"/>
        <v>27001 STEILACOOM HIST. SCHOOL DISTRICT</v>
      </c>
      <c r="D278" s="36">
        <v>0</v>
      </c>
      <c r="E278" s="36">
        <v>0</v>
      </c>
      <c r="F278" s="36">
        <v>509.64</v>
      </c>
      <c r="G278" s="36">
        <v>4827255.71</v>
      </c>
      <c r="H278" s="36">
        <v>777379.65</v>
      </c>
      <c r="I278" s="36">
        <v>4372.78</v>
      </c>
      <c r="J278" s="36">
        <v>604753.56000000006</v>
      </c>
      <c r="K278" s="36">
        <v>200634.53</v>
      </c>
      <c r="L278" s="36">
        <v>94670.38</v>
      </c>
      <c r="M278" s="36">
        <v>2836929.23</v>
      </c>
      <c r="N278" s="50">
        <v>3.2800000000000003E-2</v>
      </c>
      <c r="O278" s="53">
        <v>0.16170000000000001</v>
      </c>
      <c r="P278" s="36">
        <v>0</v>
      </c>
      <c r="Q278" s="66">
        <v>0</v>
      </c>
      <c r="R278" s="66">
        <v>0</v>
      </c>
      <c r="S278" s="67">
        <v>0</v>
      </c>
      <c r="T278" s="67">
        <v>0</v>
      </c>
      <c r="U278" s="67">
        <v>0</v>
      </c>
      <c r="V278" s="36">
        <v>0</v>
      </c>
      <c r="W278" s="67">
        <v>0</v>
      </c>
      <c r="X278" s="67">
        <v>0</v>
      </c>
      <c r="Y278" s="36">
        <v>0</v>
      </c>
      <c r="Z278" s="36">
        <v>0</v>
      </c>
      <c r="AA278" s="36">
        <v>185812.56</v>
      </c>
      <c r="AB278" s="36">
        <v>131298.42000000001</v>
      </c>
      <c r="AC278" s="36">
        <v>2303940.6800000002</v>
      </c>
      <c r="AD278" s="36">
        <v>230.5</v>
      </c>
      <c r="AE278" s="36">
        <v>2123417.11</v>
      </c>
      <c r="AF278" s="68">
        <f t="shared" si="75"/>
        <v>9212.2217353579163</v>
      </c>
      <c r="AG278" s="68">
        <f t="shared" si="76"/>
        <v>9995.4042516268983</v>
      </c>
      <c r="AH278" s="69">
        <f t="shared" si="77"/>
        <v>783.18</v>
      </c>
      <c r="AI278" s="36">
        <v>13.75</v>
      </c>
      <c r="AJ278" s="36">
        <v>123595.42</v>
      </c>
      <c r="AK278" s="68">
        <f t="shared" si="78"/>
        <v>8988.7578181818189</v>
      </c>
      <c r="AL278" s="68">
        <f t="shared" si="79"/>
        <v>9548.9760000000006</v>
      </c>
      <c r="AM278" s="69">
        <f t="shared" si="80"/>
        <v>560.22</v>
      </c>
      <c r="AN278" s="67">
        <v>0</v>
      </c>
      <c r="AO278" s="67">
        <v>0</v>
      </c>
    </row>
    <row r="279" spans="1:41" s="3" customFormat="1" ht="15">
      <c r="A279" s="58" t="s">
        <v>689</v>
      </c>
      <c r="B279" s="58" t="s">
        <v>286</v>
      </c>
      <c r="C279" s="58" t="str">
        <f t="shared" si="81"/>
        <v>38304 STEPTOE SCHOOL DISTRICT</v>
      </c>
      <c r="D279" s="36">
        <v>0</v>
      </c>
      <c r="E279" s="36">
        <v>0</v>
      </c>
      <c r="F279" s="36">
        <v>0</v>
      </c>
      <c r="G279" s="36">
        <v>52278.23</v>
      </c>
      <c r="H279" s="36">
        <v>6634.64</v>
      </c>
      <c r="I279" s="36">
        <v>0</v>
      </c>
      <c r="J279" s="36">
        <v>0</v>
      </c>
      <c r="K279" s="36">
        <v>0</v>
      </c>
      <c r="L279" s="36">
        <v>0</v>
      </c>
      <c r="M279" s="36">
        <v>101804.8</v>
      </c>
      <c r="N279" s="50">
        <v>9.9400000000000002E-2</v>
      </c>
      <c r="O279" s="53">
        <v>0.2949</v>
      </c>
      <c r="P279" s="36">
        <v>0</v>
      </c>
      <c r="Q279" s="66">
        <v>0</v>
      </c>
      <c r="R279" s="66">
        <v>0</v>
      </c>
      <c r="S279" s="67">
        <v>0</v>
      </c>
      <c r="T279" s="67">
        <v>0</v>
      </c>
      <c r="U279" s="67">
        <v>0</v>
      </c>
      <c r="V279" s="36">
        <v>0</v>
      </c>
      <c r="W279" s="67">
        <v>0</v>
      </c>
      <c r="X279" s="67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68">
        <f t="shared" si="75"/>
        <v>0</v>
      </c>
      <c r="AG279" s="68">
        <f t="shared" si="76"/>
        <v>0</v>
      </c>
      <c r="AH279" s="69">
        <f t="shared" si="77"/>
        <v>0</v>
      </c>
      <c r="AI279" s="36">
        <v>0</v>
      </c>
      <c r="AJ279" s="36">
        <v>0</v>
      </c>
      <c r="AK279" s="68">
        <f t="shared" si="78"/>
        <v>0</v>
      </c>
      <c r="AL279" s="68">
        <f t="shared" si="79"/>
        <v>0</v>
      </c>
      <c r="AM279" s="69">
        <f t="shared" si="80"/>
        <v>0</v>
      </c>
      <c r="AN279" s="67">
        <v>0</v>
      </c>
      <c r="AO279" s="67">
        <v>0</v>
      </c>
    </row>
    <row r="280" spans="1:41" s="3" customFormat="1" ht="15">
      <c r="A280" s="58" t="s">
        <v>621</v>
      </c>
      <c r="B280" s="58" t="s">
        <v>215</v>
      </c>
      <c r="C280" s="58" t="str">
        <f t="shared" si="81"/>
        <v>30303 STEVENSON-CARSON SCHOOL DISTRICT</v>
      </c>
      <c r="D280" s="36">
        <v>0</v>
      </c>
      <c r="E280" s="36">
        <v>319.89</v>
      </c>
      <c r="F280" s="36">
        <v>17686</v>
      </c>
      <c r="G280" s="36">
        <v>0</v>
      </c>
      <c r="H280" s="36">
        <v>0</v>
      </c>
      <c r="I280" s="36">
        <v>171008.51</v>
      </c>
      <c r="J280" s="36">
        <v>295161.12</v>
      </c>
      <c r="K280" s="36">
        <v>26539.57</v>
      </c>
      <c r="L280" s="36">
        <v>22960.43</v>
      </c>
      <c r="M280" s="36">
        <v>832681.96</v>
      </c>
      <c r="N280" s="50">
        <v>4.9000000000000002E-2</v>
      </c>
      <c r="O280" s="53">
        <v>0.15629999999999999</v>
      </c>
      <c r="P280" s="36">
        <v>0</v>
      </c>
      <c r="Q280" s="66">
        <v>0</v>
      </c>
      <c r="R280" s="66">
        <v>0</v>
      </c>
      <c r="S280" s="67">
        <v>0</v>
      </c>
      <c r="T280" s="67">
        <v>0</v>
      </c>
      <c r="U280" s="67">
        <v>0</v>
      </c>
      <c r="V280" s="36">
        <v>0</v>
      </c>
      <c r="W280" s="67">
        <v>0</v>
      </c>
      <c r="X280" s="67">
        <v>0</v>
      </c>
      <c r="Y280" s="36">
        <v>0</v>
      </c>
      <c r="Z280" s="36">
        <v>8285.84</v>
      </c>
      <c r="AA280" s="36">
        <v>0</v>
      </c>
      <c r="AB280" s="36">
        <v>94257.72</v>
      </c>
      <c r="AC280" s="36">
        <v>303088.03999999998</v>
      </c>
      <c r="AD280" s="36">
        <v>32.54</v>
      </c>
      <c r="AE280" s="36">
        <v>287969.59999999998</v>
      </c>
      <c r="AF280" s="68">
        <f t="shared" si="75"/>
        <v>8849.7111247695138</v>
      </c>
      <c r="AG280" s="68">
        <f t="shared" si="76"/>
        <v>9314.3220651505835</v>
      </c>
      <c r="AH280" s="69">
        <f t="shared" si="77"/>
        <v>464.61</v>
      </c>
      <c r="AI280" s="36">
        <v>10.28</v>
      </c>
      <c r="AJ280" s="36">
        <v>88705.09</v>
      </c>
      <c r="AK280" s="68">
        <f t="shared" si="78"/>
        <v>8628.8998054474705</v>
      </c>
      <c r="AL280" s="68">
        <f t="shared" si="79"/>
        <v>9169.0389105058366</v>
      </c>
      <c r="AM280" s="69">
        <f t="shared" si="80"/>
        <v>540.14</v>
      </c>
      <c r="AN280" s="67">
        <v>0</v>
      </c>
      <c r="AO280" s="67">
        <v>0</v>
      </c>
    </row>
    <row r="281" spans="1:41" s="3" customFormat="1" ht="15">
      <c r="A281" s="58" t="s">
        <v>632</v>
      </c>
      <c r="B281" s="58" t="s">
        <v>226</v>
      </c>
      <c r="C281" s="58" t="str">
        <f t="shared" si="81"/>
        <v>31311 SULTAN SCHOOL DISTRICT</v>
      </c>
      <c r="D281" s="36">
        <v>0</v>
      </c>
      <c r="E281" s="36">
        <v>80777.740000000005</v>
      </c>
      <c r="F281" s="36">
        <v>14064.25</v>
      </c>
      <c r="G281" s="36">
        <v>4069766.97</v>
      </c>
      <c r="H281" s="36">
        <v>880635.03</v>
      </c>
      <c r="I281" s="36">
        <v>690741.08</v>
      </c>
      <c r="J281" s="36">
        <v>824010.36</v>
      </c>
      <c r="K281" s="36">
        <v>512295.73</v>
      </c>
      <c r="L281" s="36">
        <v>70059.509999999995</v>
      </c>
      <c r="M281" s="36">
        <v>1896096.5</v>
      </c>
      <c r="N281" s="50">
        <v>3.0700000000000002E-2</v>
      </c>
      <c r="O281" s="53">
        <v>0.1598</v>
      </c>
      <c r="P281" s="36">
        <v>0</v>
      </c>
      <c r="Q281" s="66">
        <v>0</v>
      </c>
      <c r="R281" s="66">
        <v>0</v>
      </c>
      <c r="S281" s="67">
        <v>0</v>
      </c>
      <c r="T281" s="67">
        <v>0</v>
      </c>
      <c r="U281" s="67">
        <v>0</v>
      </c>
      <c r="V281" s="36">
        <v>0</v>
      </c>
      <c r="W281" s="67">
        <v>0</v>
      </c>
      <c r="X281" s="67">
        <v>0</v>
      </c>
      <c r="Y281" s="36">
        <v>0</v>
      </c>
      <c r="Z281" s="36">
        <v>0</v>
      </c>
      <c r="AA281" s="36">
        <v>146119.99</v>
      </c>
      <c r="AB281" s="36">
        <v>198627.54</v>
      </c>
      <c r="AC281" s="36">
        <v>1802776.48</v>
      </c>
      <c r="AD281" s="36">
        <v>173.57</v>
      </c>
      <c r="AE281" s="36">
        <v>1725525.88</v>
      </c>
      <c r="AF281" s="68">
        <f t="shared" si="75"/>
        <v>9941.3831883389976</v>
      </c>
      <c r="AG281" s="68">
        <f t="shared" si="76"/>
        <v>10386.452036642277</v>
      </c>
      <c r="AH281" s="69">
        <f t="shared" si="77"/>
        <v>445.07</v>
      </c>
      <c r="AI281" s="36">
        <v>19.25</v>
      </c>
      <c r="AJ281" s="36">
        <v>187104.14</v>
      </c>
      <c r="AK281" s="68">
        <f t="shared" si="78"/>
        <v>9719.6955844155855</v>
      </c>
      <c r="AL281" s="68">
        <f t="shared" si="79"/>
        <v>10318.313766233767</v>
      </c>
      <c r="AM281" s="69">
        <f t="shared" si="80"/>
        <v>598.62</v>
      </c>
      <c r="AN281" s="67">
        <v>0</v>
      </c>
      <c r="AO281" s="67">
        <v>0</v>
      </c>
    </row>
    <row r="282" spans="1:41" s="3" customFormat="1" ht="15">
      <c r="A282" s="58" t="s">
        <v>655</v>
      </c>
      <c r="B282" s="58" t="s">
        <v>250</v>
      </c>
      <c r="C282" s="58" t="str">
        <f t="shared" si="81"/>
        <v>33202 SUMMIT VALLEY SCHOOL DISTRICT</v>
      </c>
      <c r="D282" s="36">
        <v>0</v>
      </c>
      <c r="E282" s="36">
        <v>0</v>
      </c>
      <c r="F282" s="36">
        <v>0</v>
      </c>
      <c r="G282" s="36">
        <v>134200.18</v>
      </c>
      <c r="H282" s="36">
        <v>12601.09</v>
      </c>
      <c r="I282" s="36">
        <v>23064.34</v>
      </c>
      <c r="J282" s="36">
        <v>42804.09</v>
      </c>
      <c r="K282" s="36">
        <v>0</v>
      </c>
      <c r="L282" s="36">
        <v>2389.5500000000002</v>
      </c>
      <c r="M282" s="36">
        <v>0</v>
      </c>
      <c r="N282" s="50">
        <v>2.7900000000000001E-2</v>
      </c>
      <c r="O282" s="54">
        <v>0.39679999999999999</v>
      </c>
      <c r="P282" s="36">
        <v>0</v>
      </c>
      <c r="Q282" s="66">
        <v>0</v>
      </c>
      <c r="R282" s="66">
        <v>0</v>
      </c>
      <c r="S282" s="67">
        <v>0</v>
      </c>
      <c r="T282" s="67">
        <v>0</v>
      </c>
      <c r="U282" s="67">
        <v>0</v>
      </c>
      <c r="V282" s="36">
        <v>0</v>
      </c>
      <c r="W282" s="67">
        <v>0</v>
      </c>
      <c r="X282" s="67">
        <v>0</v>
      </c>
      <c r="Y282" s="36">
        <v>0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68">
        <f t="shared" si="75"/>
        <v>0</v>
      </c>
      <c r="AG282" s="68">
        <f t="shared" si="76"/>
        <v>0</v>
      </c>
      <c r="AH282" s="69">
        <f t="shared" si="77"/>
        <v>0</v>
      </c>
      <c r="AI282" s="36">
        <v>0</v>
      </c>
      <c r="AJ282" s="36">
        <v>0</v>
      </c>
      <c r="AK282" s="68">
        <f t="shared" si="78"/>
        <v>0</v>
      </c>
      <c r="AL282" s="68">
        <f t="shared" si="79"/>
        <v>0</v>
      </c>
      <c r="AM282" s="69">
        <f t="shared" si="80"/>
        <v>0</v>
      </c>
      <c r="AN282" s="67">
        <v>0</v>
      </c>
      <c r="AO282" s="67">
        <v>0</v>
      </c>
    </row>
    <row r="283" spans="1:41" s="3" customFormat="1" ht="15">
      <c r="A283" s="58" t="s">
        <v>720</v>
      </c>
      <c r="B283" s="59" t="s">
        <v>721</v>
      </c>
      <c r="C283" s="59" t="str">
        <f>CONCATENATE(B283," ",A283," CHARTER")</f>
        <v>17905 SUMMIT: ATLAS CHARTER</v>
      </c>
      <c r="D283" s="36">
        <v>0</v>
      </c>
      <c r="E283" s="36">
        <v>0</v>
      </c>
      <c r="F283" s="36">
        <v>0</v>
      </c>
      <c r="G283" s="36">
        <v>901709.91</v>
      </c>
      <c r="H283" s="36">
        <v>112318.01</v>
      </c>
      <c r="I283" s="36">
        <v>0</v>
      </c>
      <c r="J283" s="36">
        <v>147569.59</v>
      </c>
      <c r="K283" s="36">
        <v>205791.98</v>
      </c>
      <c r="L283" s="36">
        <v>18626.46</v>
      </c>
      <c r="M283" s="36">
        <v>464467.83</v>
      </c>
      <c r="N283" s="50">
        <v>7.8899999999999998E-2</v>
      </c>
      <c r="O283" s="53">
        <v>0.25729999999999997</v>
      </c>
      <c r="P283" s="36">
        <v>0</v>
      </c>
      <c r="Q283" s="66">
        <v>0</v>
      </c>
      <c r="R283" s="66">
        <v>0</v>
      </c>
      <c r="S283" s="67">
        <v>0</v>
      </c>
      <c r="T283" s="67">
        <v>0</v>
      </c>
      <c r="U283" s="67">
        <v>0</v>
      </c>
      <c r="V283" s="36">
        <v>0</v>
      </c>
      <c r="W283" s="67">
        <v>0</v>
      </c>
      <c r="X283" s="67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68">
        <f t="shared" si="75"/>
        <v>0</v>
      </c>
      <c r="AG283" s="68">
        <f t="shared" si="76"/>
        <v>0</v>
      </c>
      <c r="AH283" s="69">
        <f t="shared" si="77"/>
        <v>0</v>
      </c>
      <c r="AI283" s="36">
        <v>0</v>
      </c>
      <c r="AJ283" s="36">
        <v>0</v>
      </c>
      <c r="AK283" s="68">
        <f t="shared" si="78"/>
        <v>0</v>
      </c>
      <c r="AL283" s="68">
        <f t="shared" si="79"/>
        <v>0</v>
      </c>
      <c r="AM283" s="69">
        <f t="shared" si="80"/>
        <v>0</v>
      </c>
      <c r="AN283" s="67">
        <v>0</v>
      </c>
      <c r="AO283" s="67">
        <v>0</v>
      </c>
    </row>
    <row r="284" spans="1:41" s="3" customFormat="1" ht="15">
      <c r="A284" s="58" t="s">
        <v>723</v>
      </c>
      <c r="B284" s="59" t="s">
        <v>416</v>
      </c>
      <c r="C284" s="59" t="str">
        <f>CONCATENATE(B284," ",A284," CHARTER")</f>
        <v>27905 SUMMIT: OLYMPUS CHARTER</v>
      </c>
      <c r="D284" s="36">
        <v>0</v>
      </c>
      <c r="E284" s="36">
        <v>0</v>
      </c>
      <c r="F284" s="36">
        <v>0</v>
      </c>
      <c r="G284" s="36">
        <v>249736.81</v>
      </c>
      <c r="H284" s="36">
        <v>25388.35</v>
      </c>
      <c r="I284" s="36">
        <v>50946.74</v>
      </c>
      <c r="J284" s="36">
        <v>65634.09</v>
      </c>
      <c r="K284" s="36">
        <v>25365.79</v>
      </c>
      <c r="L284" s="36">
        <v>5048.7700000000004</v>
      </c>
      <c r="M284" s="36">
        <v>35309.440000000002</v>
      </c>
      <c r="N284" s="50">
        <v>0.13450000000000001</v>
      </c>
      <c r="O284" s="53">
        <v>0.36749999999999999</v>
      </c>
      <c r="P284" s="36">
        <v>0</v>
      </c>
      <c r="Q284" s="66">
        <v>0</v>
      </c>
      <c r="R284" s="66">
        <v>0</v>
      </c>
      <c r="S284" s="67">
        <v>0</v>
      </c>
      <c r="T284" s="67">
        <v>0</v>
      </c>
      <c r="U284" s="67">
        <v>0</v>
      </c>
      <c r="V284" s="36">
        <v>0</v>
      </c>
      <c r="W284" s="67">
        <v>0</v>
      </c>
      <c r="X284" s="67">
        <v>0</v>
      </c>
      <c r="Y284" s="36">
        <v>0</v>
      </c>
      <c r="Z284" s="36">
        <v>0</v>
      </c>
      <c r="AA284" s="36">
        <v>0</v>
      </c>
      <c r="AB284" s="36">
        <v>0</v>
      </c>
      <c r="AC284" s="36">
        <v>0</v>
      </c>
      <c r="AD284" s="36">
        <v>0</v>
      </c>
      <c r="AE284" s="36">
        <v>0</v>
      </c>
      <c r="AF284" s="68">
        <f t="shared" si="75"/>
        <v>0</v>
      </c>
      <c r="AG284" s="68">
        <f t="shared" si="76"/>
        <v>0</v>
      </c>
      <c r="AH284" s="69">
        <f t="shared" si="77"/>
        <v>0</v>
      </c>
      <c r="AI284" s="36">
        <v>0</v>
      </c>
      <c r="AJ284" s="36">
        <v>0</v>
      </c>
      <c r="AK284" s="68">
        <f t="shared" si="78"/>
        <v>0</v>
      </c>
      <c r="AL284" s="68">
        <f t="shared" si="79"/>
        <v>0</v>
      </c>
      <c r="AM284" s="69">
        <f t="shared" si="80"/>
        <v>0</v>
      </c>
      <c r="AN284" s="67">
        <v>0</v>
      </c>
      <c r="AO284" s="67">
        <v>0</v>
      </c>
    </row>
    <row r="285" spans="1:41" s="3" customFormat="1" ht="15">
      <c r="A285" s="58" t="s">
        <v>777</v>
      </c>
      <c r="B285" s="59" t="s">
        <v>414</v>
      </c>
      <c r="C285" s="59" t="str">
        <f>CONCATENATE(B285," ",A285," CHARTER")</f>
        <v>17902 SUMMIT: SIERRA CHARTER</v>
      </c>
      <c r="D285" s="36">
        <v>0</v>
      </c>
      <c r="E285" s="36">
        <v>0</v>
      </c>
      <c r="F285" s="36">
        <v>0</v>
      </c>
      <c r="G285" s="36">
        <v>377278.59</v>
      </c>
      <c r="H285" s="36">
        <v>56811.78</v>
      </c>
      <c r="I285" s="36">
        <v>0</v>
      </c>
      <c r="J285" s="36">
        <v>57802.1</v>
      </c>
      <c r="K285" s="36">
        <v>61277.13</v>
      </c>
      <c r="L285" s="36">
        <v>7690.93</v>
      </c>
      <c r="M285" s="36">
        <v>41821.49</v>
      </c>
      <c r="N285" s="50">
        <v>0.13059999999999999</v>
      </c>
      <c r="O285" s="54">
        <v>0.29099999999999998</v>
      </c>
      <c r="P285" s="36">
        <v>0</v>
      </c>
      <c r="Q285" s="66">
        <v>0</v>
      </c>
      <c r="R285" s="66">
        <v>0</v>
      </c>
      <c r="S285" s="67">
        <v>0</v>
      </c>
      <c r="T285" s="67">
        <v>0</v>
      </c>
      <c r="U285" s="67">
        <v>0</v>
      </c>
      <c r="V285" s="36">
        <v>0</v>
      </c>
      <c r="W285" s="67">
        <v>0</v>
      </c>
      <c r="X285" s="67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68">
        <f t="shared" si="75"/>
        <v>0</v>
      </c>
      <c r="AG285" s="68">
        <f t="shared" si="76"/>
        <v>0</v>
      </c>
      <c r="AH285" s="69">
        <f t="shared" si="77"/>
        <v>0</v>
      </c>
      <c r="AI285" s="36">
        <v>0</v>
      </c>
      <c r="AJ285" s="36">
        <v>0</v>
      </c>
      <c r="AK285" s="68">
        <f t="shared" si="78"/>
        <v>0</v>
      </c>
      <c r="AL285" s="68">
        <f t="shared" si="79"/>
        <v>0</v>
      </c>
      <c r="AM285" s="69">
        <f t="shared" si="80"/>
        <v>0</v>
      </c>
      <c r="AN285" s="67">
        <v>0</v>
      </c>
      <c r="AO285" s="67">
        <v>0</v>
      </c>
    </row>
    <row r="286" spans="1:41" s="3" customFormat="1" ht="15">
      <c r="A286" s="58" t="s">
        <v>597</v>
      </c>
      <c r="B286" s="58" t="s">
        <v>191</v>
      </c>
      <c r="C286" s="58" t="str">
        <f>CONCATENATE(B286," ",A286," SCHOOL DISTRICT")</f>
        <v>27320 SUMNER SCHOOL DISTRICT</v>
      </c>
      <c r="D286" s="36">
        <v>0</v>
      </c>
      <c r="E286" s="36">
        <v>182139.78</v>
      </c>
      <c r="F286" s="36">
        <v>0</v>
      </c>
      <c r="G286" s="36">
        <v>16901938.559999999</v>
      </c>
      <c r="H286" s="36">
        <v>3085350.79</v>
      </c>
      <c r="I286" s="36">
        <v>135169.5</v>
      </c>
      <c r="J286" s="36">
        <v>2194037.5499999998</v>
      </c>
      <c r="K286" s="36">
        <v>1070887.6399999999</v>
      </c>
      <c r="L286" s="36">
        <v>340448.18</v>
      </c>
      <c r="M286" s="36">
        <v>5600489.5199999996</v>
      </c>
      <c r="N286" s="50">
        <v>4.7600000000000003E-2</v>
      </c>
      <c r="O286" s="53">
        <v>0.14219999999999999</v>
      </c>
      <c r="P286" s="36">
        <v>0</v>
      </c>
      <c r="Q286" s="66">
        <v>0</v>
      </c>
      <c r="R286" s="66">
        <v>0</v>
      </c>
      <c r="S286" s="67">
        <v>0</v>
      </c>
      <c r="T286" s="67">
        <v>0</v>
      </c>
      <c r="U286" s="67">
        <v>0</v>
      </c>
      <c r="V286" s="36">
        <v>0</v>
      </c>
      <c r="W286" s="67">
        <v>0</v>
      </c>
      <c r="X286" s="67">
        <v>0</v>
      </c>
      <c r="Y286" s="36">
        <v>0</v>
      </c>
      <c r="Z286" s="36">
        <v>73126.02</v>
      </c>
      <c r="AA286" s="36">
        <v>272194.05</v>
      </c>
      <c r="AB286" s="36">
        <v>1196338.56</v>
      </c>
      <c r="AC286" s="36">
        <v>5765515.5800000001</v>
      </c>
      <c r="AD286" s="36">
        <v>555.14</v>
      </c>
      <c r="AE286" s="36">
        <v>5316747.46</v>
      </c>
      <c r="AF286" s="68">
        <f t="shared" si="75"/>
        <v>9577.3092553229817</v>
      </c>
      <c r="AG286" s="68">
        <f t="shared" si="76"/>
        <v>10385.696545015671</v>
      </c>
      <c r="AH286" s="69">
        <f t="shared" si="77"/>
        <v>808.39</v>
      </c>
      <c r="AI286" s="36">
        <v>120.38</v>
      </c>
      <c r="AJ286" s="36">
        <v>1126500.6499999999</v>
      </c>
      <c r="AK286" s="68">
        <f t="shared" si="78"/>
        <v>9357.8721548429967</v>
      </c>
      <c r="AL286" s="68">
        <f t="shared" si="79"/>
        <v>9938.0176108988217</v>
      </c>
      <c r="AM286" s="69">
        <f t="shared" si="80"/>
        <v>580.15</v>
      </c>
      <c r="AN286" s="67">
        <v>0</v>
      </c>
      <c r="AO286" s="67">
        <v>0</v>
      </c>
    </row>
    <row r="287" spans="1:41" s="3" customFormat="1" ht="15">
      <c r="A287" s="58" t="s">
        <v>701</v>
      </c>
      <c r="B287" s="58" t="s">
        <v>299</v>
      </c>
      <c r="C287" s="58" t="str">
        <f>CONCATENATE(B287," ",A287," SCHOOL DISTRICT")</f>
        <v>39201 SUNNYSIDE SCHOOL DISTRICT</v>
      </c>
      <c r="D287" s="36">
        <v>0</v>
      </c>
      <c r="E287" s="36">
        <v>382101.34</v>
      </c>
      <c r="F287" s="36">
        <v>195280.95</v>
      </c>
      <c r="G287" s="36">
        <v>9552381.7599999998</v>
      </c>
      <c r="H287" s="36">
        <v>2110769.89</v>
      </c>
      <c r="I287" s="36">
        <v>1908937.16</v>
      </c>
      <c r="J287" s="36">
        <v>3908677.15</v>
      </c>
      <c r="K287" s="36">
        <v>3208429.45</v>
      </c>
      <c r="L287" s="36">
        <v>182229.01</v>
      </c>
      <c r="M287" s="36">
        <v>3492870.97</v>
      </c>
      <c r="N287" s="50">
        <v>5.5399999999999998E-2</v>
      </c>
      <c r="O287" s="53">
        <v>0.17369999999999999</v>
      </c>
      <c r="P287" s="36">
        <v>0</v>
      </c>
      <c r="Q287" s="66">
        <v>0</v>
      </c>
      <c r="R287" s="66">
        <v>0</v>
      </c>
      <c r="S287" s="67">
        <v>0</v>
      </c>
      <c r="T287" s="67">
        <v>0</v>
      </c>
      <c r="U287" s="67">
        <v>0</v>
      </c>
      <c r="V287" s="36">
        <v>0</v>
      </c>
      <c r="W287" s="67">
        <v>0</v>
      </c>
      <c r="X287" s="67">
        <v>0</v>
      </c>
      <c r="Y287" s="36">
        <v>0</v>
      </c>
      <c r="Z287" s="36">
        <v>30320.18</v>
      </c>
      <c r="AA287" s="36">
        <v>0</v>
      </c>
      <c r="AB287" s="36">
        <v>400114.62</v>
      </c>
      <c r="AC287" s="36">
        <v>2683030.34</v>
      </c>
      <c r="AD287" s="36">
        <v>283.19</v>
      </c>
      <c r="AE287" s="36">
        <v>2505529.54</v>
      </c>
      <c r="AF287" s="68">
        <f t="shared" si="75"/>
        <v>8847.521240156786</v>
      </c>
      <c r="AG287" s="68">
        <f t="shared" si="76"/>
        <v>9474.3117341714042</v>
      </c>
      <c r="AH287" s="69">
        <f t="shared" si="77"/>
        <v>626.79</v>
      </c>
      <c r="AI287" s="36">
        <v>43.65</v>
      </c>
      <c r="AJ287" s="36">
        <v>376780.71</v>
      </c>
      <c r="AK287" s="68">
        <f t="shared" si="78"/>
        <v>8631.8604810996567</v>
      </c>
      <c r="AL287" s="68">
        <f t="shared" si="79"/>
        <v>9166.428865979382</v>
      </c>
      <c r="AM287" s="69">
        <f t="shared" si="80"/>
        <v>534.57000000000005</v>
      </c>
      <c r="AN287" s="67">
        <v>5070</v>
      </c>
      <c r="AO287" s="67">
        <v>0</v>
      </c>
    </row>
    <row r="288" spans="1:41" s="3" customFormat="1" ht="15">
      <c r="A288" s="58" t="s">
        <v>805</v>
      </c>
      <c r="B288" s="58" t="s">
        <v>412</v>
      </c>
      <c r="C288" s="61" t="str">
        <f>CONCATENATE(B288," ",A288," TRIBAL COMPACT")</f>
        <v>18902 SUQUAMISH TRIBAL COMPACT</v>
      </c>
      <c r="D288" s="36">
        <v>0</v>
      </c>
      <c r="E288" s="36">
        <v>4097.49</v>
      </c>
      <c r="F288" s="36">
        <v>0</v>
      </c>
      <c r="G288" s="36">
        <v>128065.98</v>
      </c>
      <c r="H288" s="36">
        <v>27353.84</v>
      </c>
      <c r="I288" s="36">
        <v>26918.25</v>
      </c>
      <c r="J288" s="36">
        <v>40257.18</v>
      </c>
      <c r="K288" s="36">
        <v>0</v>
      </c>
      <c r="L288" s="36">
        <v>0</v>
      </c>
      <c r="M288" s="36">
        <v>61686.45</v>
      </c>
      <c r="N288" s="50">
        <v>6.5799999999999997E-2</v>
      </c>
      <c r="O288" s="53">
        <v>9.3100000000000002E-2</v>
      </c>
      <c r="P288" s="36">
        <v>0</v>
      </c>
      <c r="Q288" s="66">
        <v>0</v>
      </c>
      <c r="R288" s="66">
        <v>0</v>
      </c>
      <c r="S288" s="67">
        <v>0</v>
      </c>
      <c r="T288" s="67">
        <v>0</v>
      </c>
      <c r="U288" s="67">
        <v>0</v>
      </c>
      <c r="V288" s="36">
        <v>0</v>
      </c>
      <c r="W288" s="67">
        <v>0</v>
      </c>
      <c r="X288" s="67">
        <v>0</v>
      </c>
      <c r="Y288" s="36">
        <v>0</v>
      </c>
      <c r="Z288" s="36">
        <v>0</v>
      </c>
      <c r="AA288" s="36">
        <v>0</v>
      </c>
      <c r="AB288" s="36">
        <v>0</v>
      </c>
      <c r="AC288" s="36">
        <v>44746.13</v>
      </c>
      <c r="AD288" s="36">
        <v>4.34</v>
      </c>
      <c r="AE288" s="36">
        <v>43261.99</v>
      </c>
      <c r="AF288" s="68">
        <f t="shared" si="75"/>
        <v>9968.2004608294937</v>
      </c>
      <c r="AG288" s="68">
        <f t="shared" si="76"/>
        <v>10310.168202764977</v>
      </c>
      <c r="AH288" s="69">
        <f t="shared" si="77"/>
        <v>341.97</v>
      </c>
      <c r="AI288" s="36">
        <v>0</v>
      </c>
      <c r="AJ288" s="36">
        <v>0</v>
      </c>
      <c r="AK288" s="68">
        <f t="shared" si="78"/>
        <v>0</v>
      </c>
      <c r="AL288" s="68">
        <f t="shared" si="79"/>
        <v>0</v>
      </c>
      <c r="AM288" s="69">
        <f t="shared" si="80"/>
        <v>0</v>
      </c>
      <c r="AN288" s="67">
        <v>0</v>
      </c>
      <c r="AO288" s="67">
        <v>0</v>
      </c>
    </row>
    <row r="289" spans="1:41" s="3" customFormat="1" ht="15">
      <c r="A289" s="58" t="s">
        <v>594</v>
      </c>
      <c r="B289" s="58" t="s">
        <v>188</v>
      </c>
      <c r="C289" s="58" t="str">
        <f t="shared" ref="C289:C307" si="82">CONCATENATE(B289," ",A289," SCHOOL DISTRICT")</f>
        <v>27010 TACOMA SCHOOL DISTRICT</v>
      </c>
      <c r="D289" s="36">
        <v>0</v>
      </c>
      <c r="E289" s="36">
        <v>533936.97</v>
      </c>
      <c r="F289" s="36">
        <v>248915.25</v>
      </c>
      <c r="G289" s="36">
        <v>50807292.719999999</v>
      </c>
      <c r="H289" s="36">
        <v>10754696.24</v>
      </c>
      <c r="I289" s="36">
        <v>5784635.5099999998</v>
      </c>
      <c r="J289" s="36">
        <v>11298014.050000001</v>
      </c>
      <c r="K289" s="36">
        <v>5805836.6399999997</v>
      </c>
      <c r="L289" s="36">
        <v>877683.88</v>
      </c>
      <c r="M289" s="36">
        <v>17741171.210000001</v>
      </c>
      <c r="N289" s="50">
        <v>4.4600000000000001E-2</v>
      </c>
      <c r="O289" s="53">
        <v>0.13100000000000001</v>
      </c>
      <c r="P289" s="36">
        <v>201703.34</v>
      </c>
      <c r="Q289" s="66">
        <v>17010.38</v>
      </c>
      <c r="R289" s="66">
        <v>7709.5</v>
      </c>
      <c r="S289" s="67">
        <v>544517.62</v>
      </c>
      <c r="T289" s="67">
        <v>0</v>
      </c>
      <c r="U289" s="67">
        <v>17837.5</v>
      </c>
      <c r="V289" s="36">
        <v>0</v>
      </c>
      <c r="W289" s="67">
        <v>0</v>
      </c>
      <c r="X289" s="67">
        <v>0</v>
      </c>
      <c r="Y289" s="36">
        <v>0</v>
      </c>
      <c r="Z289" s="36">
        <v>0</v>
      </c>
      <c r="AA289" s="36">
        <v>0</v>
      </c>
      <c r="AB289" s="36">
        <v>2846167.47</v>
      </c>
      <c r="AC289" s="36">
        <v>14968975.960000001</v>
      </c>
      <c r="AD289" s="36">
        <v>1497.66</v>
      </c>
      <c r="AE289" s="36">
        <v>14343517.390000001</v>
      </c>
      <c r="AF289" s="68">
        <f t="shared" si="75"/>
        <v>9577.2854920342397</v>
      </c>
      <c r="AG289" s="68">
        <f t="shared" si="76"/>
        <v>9994.9093652764986</v>
      </c>
      <c r="AH289" s="69">
        <f t="shared" si="77"/>
        <v>417.62</v>
      </c>
      <c r="AI289" s="36">
        <v>286.38</v>
      </c>
      <c r="AJ289" s="36">
        <v>2680028.4900000002</v>
      </c>
      <c r="AK289" s="68">
        <f t="shared" si="78"/>
        <v>9358.2948879111682</v>
      </c>
      <c r="AL289" s="68">
        <f t="shared" si="79"/>
        <v>9938.4296040226272</v>
      </c>
      <c r="AM289" s="69">
        <f t="shared" si="80"/>
        <v>580.13</v>
      </c>
      <c r="AN289" s="67">
        <v>0</v>
      </c>
      <c r="AO289" s="67">
        <v>0</v>
      </c>
    </row>
    <row r="290" spans="1:41" s="3" customFormat="1" ht="15">
      <c r="A290" s="58" t="s">
        <v>493</v>
      </c>
      <c r="B290" s="58" t="s">
        <v>86</v>
      </c>
      <c r="C290" s="58" t="str">
        <f t="shared" si="82"/>
        <v>14077 TAHOLAH SCHOOL DISTRICT</v>
      </c>
      <c r="D290" s="36">
        <v>0</v>
      </c>
      <c r="E290" s="36">
        <v>0</v>
      </c>
      <c r="F290" s="36">
        <v>0</v>
      </c>
      <c r="G290" s="36">
        <v>309823.42</v>
      </c>
      <c r="H290" s="36">
        <v>26030.44</v>
      </c>
      <c r="I290" s="36">
        <v>52466.18</v>
      </c>
      <c r="J290" s="36">
        <v>89660</v>
      </c>
      <c r="K290" s="36">
        <v>0</v>
      </c>
      <c r="L290" s="36">
        <v>0</v>
      </c>
      <c r="M290" s="36">
        <v>91699.77</v>
      </c>
      <c r="N290" s="50">
        <v>8.8200000000000001E-2</v>
      </c>
      <c r="O290" s="53">
        <v>0.46100000000000002</v>
      </c>
      <c r="P290" s="36">
        <v>0</v>
      </c>
      <c r="Q290" s="66">
        <v>0</v>
      </c>
      <c r="R290" s="66">
        <v>0</v>
      </c>
      <c r="S290" s="67">
        <v>0</v>
      </c>
      <c r="T290" s="67">
        <v>0</v>
      </c>
      <c r="U290" s="67">
        <v>0</v>
      </c>
      <c r="V290" s="36">
        <v>0</v>
      </c>
      <c r="W290" s="67">
        <v>0</v>
      </c>
      <c r="X290" s="67">
        <v>0</v>
      </c>
      <c r="Y290" s="36">
        <v>0</v>
      </c>
      <c r="Z290" s="36">
        <v>0</v>
      </c>
      <c r="AA290" s="36">
        <v>0</v>
      </c>
      <c r="AB290" s="36">
        <v>0</v>
      </c>
      <c r="AC290" s="36">
        <v>52242.79</v>
      </c>
      <c r="AD290" s="36">
        <v>5.54</v>
      </c>
      <c r="AE290" s="36">
        <v>48962.76</v>
      </c>
      <c r="AF290" s="68">
        <f t="shared" si="75"/>
        <v>8838.0433212996395</v>
      </c>
      <c r="AG290" s="68">
        <f t="shared" si="76"/>
        <v>9430.1064981949457</v>
      </c>
      <c r="AH290" s="69">
        <f t="shared" si="77"/>
        <v>592.05999999999995</v>
      </c>
      <c r="AI290" s="36">
        <v>0</v>
      </c>
      <c r="AJ290" s="36">
        <v>0</v>
      </c>
      <c r="AK290" s="68">
        <f t="shared" si="78"/>
        <v>0</v>
      </c>
      <c r="AL290" s="68">
        <f t="shared" si="79"/>
        <v>0</v>
      </c>
      <c r="AM290" s="69">
        <f t="shared" si="80"/>
        <v>0</v>
      </c>
      <c r="AN290" s="67">
        <v>0</v>
      </c>
      <c r="AO290" s="67">
        <v>0</v>
      </c>
    </row>
    <row r="291" spans="1:41" s="3" customFormat="1" ht="15">
      <c r="A291" s="58" t="s">
        <v>520</v>
      </c>
      <c r="B291" s="58" t="s">
        <v>113</v>
      </c>
      <c r="C291" s="58" t="str">
        <f t="shared" si="82"/>
        <v>17409 TAHOMA SCHOOL DISTRICT</v>
      </c>
      <c r="D291" s="36">
        <v>0</v>
      </c>
      <c r="E291" s="36">
        <v>0</v>
      </c>
      <c r="F291" s="36">
        <v>0</v>
      </c>
      <c r="G291" s="36">
        <v>14487342.16</v>
      </c>
      <c r="H291" s="36">
        <v>2425896.64</v>
      </c>
      <c r="I291" s="36">
        <v>0</v>
      </c>
      <c r="J291" s="36">
        <v>1221726.1499999999</v>
      </c>
      <c r="K291" s="36">
        <v>971123.76</v>
      </c>
      <c r="L291" s="36">
        <v>318334.46999999997</v>
      </c>
      <c r="M291" s="36">
        <v>6564968.2599999998</v>
      </c>
      <c r="N291" s="50">
        <v>5.5199999999999999E-2</v>
      </c>
      <c r="O291" s="53">
        <v>0.14280000000000001</v>
      </c>
      <c r="P291" s="36">
        <v>0</v>
      </c>
      <c r="Q291" s="66">
        <v>0</v>
      </c>
      <c r="R291" s="66">
        <v>0</v>
      </c>
      <c r="S291" s="67">
        <v>0</v>
      </c>
      <c r="T291" s="67">
        <v>0</v>
      </c>
      <c r="U291" s="67">
        <v>0</v>
      </c>
      <c r="V291" s="36">
        <v>0</v>
      </c>
      <c r="W291" s="67">
        <v>0</v>
      </c>
      <c r="X291" s="67">
        <v>0</v>
      </c>
      <c r="Y291" s="36">
        <v>0</v>
      </c>
      <c r="Z291" s="36">
        <v>43981.68</v>
      </c>
      <c r="AA291" s="36">
        <v>179641.13</v>
      </c>
      <c r="AB291" s="36">
        <v>377969.84</v>
      </c>
      <c r="AC291" s="36">
        <v>5909613.9000000004</v>
      </c>
      <c r="AD291" s="36">
        <v>531.13</v>
      </c>
      <c r="AE291" s="36">
        <v>5373530.9199999999</v>
      </c>
      <c r="AF291" s="68">
        <f t="shared" si="75"/>
        <v>10117.167021256566</v>
      </c>
      <c r="AG291" s="68">
        <f t="shared" si="76"/>
        <v>11126.492384162071</v>
      </c>
      <c r="AH291" s="69">
        <f t="shared" si="77"/>
        <v>1009.33</v>
      </c>
      <c r="AI291" s="36">
        <v>35.96</v>
      </c>
      <c r="AJ291" s="36">
        <v>355910.36</v>
      </c>
      <c r="AK291" s="68">
        <f t="shared" si="78"/>
        <v>9897.3959955506107</v>
      </c>
      <c r="AL291" s="68">
        <f t="shared" si="79"/>
        <v>10510.840934371525</v>
      </c>
      <c r="AM291" s="69">
        <f t="shared" si="80"/>
        <v>613.44000000000005</v>
      </c>
      <c r="AN291" s="67">
        <v>0</v>
      </c>
      <c r="AO291" s="67">
        <v>0</v>
      </c>
    </row>
    <row r="292" spans="1:41" s="3" customFormat="1" ht="15">
      <c r="A292" s="58" t="s">
        <v>684</v>
      </c>
      <c r="B292" s="58" t="s">
        <v>281</v>
      </c>
      <c r="C292" s="58" t="str">
        <f t="shared" si="82"/>
        <v>38265 TEKOA SCHOOL DISTRICT</v>
      </c>
      <c r="D292" s="36">
        <v>0</v>
      </c>
      <c r="E292" s="36">
        <v>8533.2800000000007</v>
      </c>
      <c r="F292" s="36">
        <v>5956.86</v>
      </c>
      <c r="G292" s="36">
        <v>316144.56</v>
      </c>
      <c r="H292" s="36">
        <v>46703.55</v>
      </c>
      <c r="I292" s="36">
        <v>61513.15</v>
      </c>
      <c r="J292" s="36">
        <v>87936.3</v>
      </c>
      <c r="K292" s="36">
        <v>0</v>
      </c>
      <c r="L292" s="36">
        <v>5813.11</v>
      </c>
      <c r="M292" s="36">
        <v>267756.44</v>
      </c>
      <c r="N292" s="50">
        <v>4.2700000000000002E-2</v>
      </c>
      <c r="O292" s="53">
        <v>0.1913</v>
      </c>
      <c r="P292" s="36">
        <v>0</v>
      </c>
      <c r="Q292" s="66">
        <v>0</v>
      </c>
      <c r="R292" s="66">
        <v>0</v>
      </c>
      <c r="S292" s="67">
        <v>0</v>
      </c>
      <c r="T292" s="67">
        <v>0</v>
      </c>
      <c r="U292" s="67">
        <v>0</v>
      </c>
      <c r="V292" s="36">
        <v>0</v>
      </c>
      <c r="W292" s="67">
        <v>0</v>
      </c>
      <c r="X292" s="67">
        <v>0</v>
      </c>
      <c r="Y292" s="36">
        <v>0</v>
      </c>
      <c r="Z292" s="36">
        <v>0</v>
      </c>
      <c r="AA292" s="36">
        <v>13611.01</v>
      </c>
      <c r="AB292" s="36">
        <v>82632.38</v>
      </c>
      <c r="AC292" s="36">
        <v>247006.73</v>
      </c>
      <c r="AD292" s="36">
        <v>26.67</v>
      </c>
      <c r="AE292" s="36">
        <v>238391.93</v>
      </c>
      <c r="AF292" s="68">
        <f t="shared" si="75"/>
        <v>8938.5800524934366</v>
      </c>
      <c r="AG292" s="68">
        <f t="shared" si="76"/>
        <v>9261.5946756655412</v>
      </c>
      <c r="AH292" s="69">
        <f t="shared" si="77"/>
        <v>323.01</v>
      </c>
      <c r="AI292" s="36">
        <v>8.92</v>
      </c>
      <c r="AJ292" s="36">
        <v>77696.06</v>
      </c>
      <c r="AK292" s="68">
        <f t="shared" si="78"/>
        <v>8710.3206278026901</v>
      </c>
      <c r="AL292" s="68">
        <f t="shared" si="79"/>
        <v>9263.7197309417043</v>
      </c>
      <c r="AM292" s="69">
        <f t="shared" si="80"/>
        <v>553.4</v>
      </c>
      <c r="AN292" s="67">
        <v>0</v>
      </c>
      <c r="AO292" s="67">
        <v>0</v>
      </c>
    </row>
    <row r="293" spans="1:41" s="3" customFormat="1" ht="15">
      <c r="A293" s="58" t="s">
        <v>666</v>
      </c>
      <c r="B293" s="58" t="s">
        <v>263</v>
      </c>
      <c r="C293" s="58" t="str">
        <f t="shared" si="82"/>
        <v>34402 TENINO SCHOOL DISTRICT</v>
      </c>
      <c r="D293" s="36">
        <v>0</v>
      </c>
      <c r="E293" s="36">
        <v>18943.43</v>
      </c>
      <c r="F293" s="36">
        <v>2926.53</v>
      </c>
      <c r="G293" s="36">
        <v>2164833.37</v>
      </c>
      <c r="H293" s="36">
        <v>474541.11</v>
      </c>
      <c r="I293" s="36">
        <v>189397.65</v>
      </c>
      <c r="J293" s="36">
        <v>415573.56</v>
      </c>
      <c r="K293" s="36">
        <v>25416.74</v>
      </c>
      <c r="L293" s="36">
        <v>37401.620000000003</v>
      </c>
      <c r="M293" s="36">
        <v>1219904.6100000001</v>
      </c>
      <c r="N293" s="50">
        <v>4.3499999999999997E-2</v>
      </c>
      <c r="O293" s="53">
        <v>0.18959999999999999</v>
      </c>
      <c r="P293" s="36">
        <v>0</v>
      </c>
      <c r="Q293" s="66">
        <v>0</v>
      </c>
      <c r="R293" s="66">
        <v>0</v>
      </c>
      <c r="S293" s="67">
        <v>0</v>
      </c>
      <c r="T293" s="67">
        <v>0</v>
      </c>
      <c r="U293" s="67">
        <v>0</v>
      </c>
      <c r="V293" s="36">
        <v>0</v>
      </c>
      <c r="W293" s="67">
        <v>0</v>
      </c>
      <c r="X293" s="67">
        <v>0</v>
      </c>
      <c r="Y293" s="36">
        <v>0</v>
      </c>
      <c r="Z293" s="36">
        <v>27836.799999999999</v>
      </c>
      <c r="AA293" s="36">
        <v>67285.77</v>
      </c>
      <c r="AB293" s="36">
        <v>342631.8</v>
      </c>
      <c r="AC293" s="36">
        <v>804176.35</v>
      </c>
      <c r="AD293" s="36">
        <v>85.23</v>
      </c>
      <c r="AE293" s="36">
        <v>754077.9</v>
      </c>
      <c r="AF293" s="68">
        <f t="shared" si="75"/>
        <v>8847.5642379443852</v>
      </c>
      <c r="AG293" s="68">
        <f t="shared" si="76"/>
        <v>9435.3672415816018</v>
      </c>
      <c r="AH293" s="69">
        <f t="shared" si="77"/>
        <v>587.79999999999995</v>
      </c>
      <c r="AI293" s="36">
        <v>37.369999999999997</v>
      </c>
      <c r="AJ293" s="36">
        <v>322368.7</v>
      </c>
      <c r="AK293" s="68">
        <f t="shared" si="78"/>
        <v>8626.4035322451182</v>
      </c>
      <c r="AL293" s="68">
        <f t="shared" si="79"/>
        <v>9168.6325929890281</v>
      </c>
      <c r="AM293" s="69">
        <f t="shared" si="80"/>
        <v>542.23</v>
      </c>
      <c r="AN293" s="67">
        <v>0</v>
      </c>
      <c r="AO293" s="67">
        <v>0</v>
      </c>
    </row>
    <row r="294" spans="1:41" s="3" customFormat="1" ht="15">
      <c r="A294" s="58" t="s">
        <v>534</v>
      </c>
      <c r="B294" s="58" t="s">
        <v>127</v>
      </c>
      <c r="C294" s="58" t="str">
        <f t="shared" si="82"/>
        <v>19400 THORP SCHOOL DISTRICT</v>
      </c>
      <c r="D294" s="36">
        <v>0</v>
      </c>
      <c r="E294" s="36">
        <v>0</v>
      </c>
      <c r="F294" s="36">
        <v>0</v>
      </c>
      <c r="G294" s="36">
        <v>439414.45</v>
      </c>
      <c r="H294" s="36">
        <v>38432.019999999997</v>
      </c>
      <c r="I294" s="36">
        <v>0</v>
      </c>
      <c r="J294" s="36">
        <v>79912.31</v>
      </c>
      <c r="K294" s="36">
        <v>6014.73</v>
      </c>
      <c r="L294" s="36">
        <v>0</v>
      </c>
      <c r="M294" s="36">
        <v>219256.65</v>
      </c>
      <c r="N294" s="50">
        <v>6.1899999999999997E-2</v>
      </c>
      <c r="O294" s="53">
        <v>0.28660000000000002</v>
      </c>
      <c r="P294" s="36">
        <v>0</v>
      </c>
      <c r="Q294" s="66">
        <v>0</v>
      </c>
      <c r="R294" s="66">
        <v>0</v>
      </c>
      <c r="S294" s="67">
        <v>0</v>
      </c>
      <c r="T294" s="67">
        <v>0</v>
      </c>
      <c r="U294" s="67">
        <v>0</v>
      </c>
      <c r="V294" s="36">
        <v>0</v>
      </c>
      <c r="W294" s="67">
        <v>0</v>
      </c>
      <c r="X294" s="67">
        <v>0</v>
      </c>
      <c r="Y294" s="36">
        <v>0</v>
      </c>
      <c r="Z294" s="36">
        <v>0</v>
      </c>
      <c r="AA294" s="36">
        <v>0</v>
      </c>
      <c r="AB294" s="36">
        <v>19970.52</v>
      </c>
      <c r="AC294" s="36">
        <v>112177.88</v>
      </c>
      <c r="AD294" s="36">
        <v>11.73</v>
      </c>
      <c r="AE294" s="36">
        <v>108174.9</v>
      </c>
      <c r="AF294" s="68">
        <f t="shared" si="75"/>
        <v>9222.0716112531954</v>
      </c>
      <c r="AG294" s="68">
        <f t="shared" si="76"/>
        <v>9563.3316283034947</v>
      </c>
      <c r="AH294" s="69">
        <f t="shared" si="77"/>
        <v>341.26</v>
      </c>
      <c r="AI294" s="36">
        <v>2.08</v>
      </c>
      <c r="AJ294" s="36">
        <v>18691.84</v>
      </c>
      <c r="AK294" s="68">
        <f t="shared" si="78"/>
        <v>8986.461538461539</v>
      </c>
      <c r="AL294" s="68">
        <f t="shared" si="79"/>
        <v>9601.211538461539</v>
      </c>
      <c r="AM294" s="69">
        <f t="shared" si="80"/>
        <v>614.75</v>
      </c>
      <c r="AN294" s="67">
        <v>0</v>
      </c>
      <c r="AO294" s="67">
        <v>0</v>
      </c>
    </row>
    <row r="295" spans="1:41" s="3" customFormat="1" ht="15">
      <c r="A295" s="58" t="s">
        <v>555</v>
      </c>
      <c r="B295" s="58" t="s">
        <v>148</v>
      </c>
      <c r="C295" s="58" t="str">
        <f t="shared" si="82"/>
        <v>21237 TOLEDO SCHOOL DISTRICT</v>
      </c>
      <c r="D295" s="36">
        <v>0</v>
      </c>
      <c r="E295" s="36">
        <v>5126.62</v>
      </c>
      <c r="F295" s="36">
        <v>0</v>
      </c>
      <c r="G295" s="36">
        <v>1449082.69</v>
      </c>
      <c r="H295" s="36">
        <v>382063.53</v>
      </c>
      <c r="I295" s="36">
        <v>69440.08</v>
      </c>
      <c r="J295" s="36">
        <v>255881.96</v>
      </c>
      <c r="K295" s="36">
        <v>11111.22</v>
      </c>
      <c r="L295" s="36">
        <v>25789.02</v>
      </c>
      <c r="M295" s="36">
        <v>824103.84</v>
      </c>
      <c r="N295" s="50">
        <v>2.7199999999999998E-2</v>
      </c>
      <c r="O295" s="53">
        <v>0.20699999999999999</v>
      </c>
      <c r="P295" s="36">
        <v>0</v>
      </c>
      <c r="Q295" s="66">
        <v>0</v>
      </c>
      <c r="R295" s="66">
        <v>0</v>
      </c>
      <c r="S295" s="67">
        <v>0</v>
      </c>
      <c r="T295" s="67">
        <v>0</v>
      </c>
      <c r="U295" s="67">
        <v>0</v>
      </c>
      <c r="V295" s="36">
        <v>0</v>
      </c>
      <c r="W295" s="67">
        <v>0</v>
      </c>
      <c r="X295" s="67">
        <v>0</v>
      </c>
      <c r="Y295" s="36">
        <v>0</v>
      </c>
      <c r="Z295" s="36">
        <v>17257.330000000002</v>
      </c>
      <c r="AA295" s="36">
        <v>31956.46</v>
      </c>
      <c r="AB295" s="36">
        <v>337913.37</v>
      </c>
      <c r="AC295" s="36">
        <v>604079.57999999996</v>
      </c>
      <c r="AD295" s="36">
        <v>63.02</v>
      </c>
      <c r="AE295" s="36">
        <v>563028.62</v>
      </c>
      <c r="AF295" s="68">
        <f t="shared" si="75"/>
        <v>8934.1259917486514</v>
      </c>
      <c r="AG295" s="68">
        <f t="shared" si="76"/>
        <v>9585.5217391304341</v>
      </c>
      <c r="AH295" s="69">
        <f t="shared" si="77"/>
        <v>651.4</v>
      </c>
      <c r="AI295" s="36">
        <v>36.47</v>
      </c>
      <c r="AJ295" s="36">
        <v>317994.3</v>
      </c>
      <c r="AK295" s="68">
        <f t="shared" si="78"/>
        <v>8719.3391828900458</v>
      </c>
      <c r="AL295" s="68">
        <f t="shared" si="79"/>
        <v>9265.5160405813003</v>
      </c>
      <c r="AM295" s="69">
        <f t="shared" si="80"/>
        <v>546.17999999999995</v>
      </c>
      <c r="AN295" s="67">
        <v>0</v>
      </c>
      <c r="AO295" s="67">
        <v>0</v>
      </c>
    </row>
    <row r="296" spans="1:41" s="3" customFormat="1" ht="15">
      <c r="A296" s="58" t="s">
        <v>582</v>
      </c>
      <c r="B296" s="58" t="s">
        <v>175</v>
      </c>
      <c r="C296" s="58" t="str">
        <f t="shared" si="82"/>
        <v>24404 TONASKET SCHOOL DISTRICT</v>
      </c>
      <c r="D296" s="36">
        <v>0</v>
      </c>
      <c r="E296" s="36">
        <v>0</v>
      </c>
      <c r="F296" s="36">
        <v>22729.97</v>
      </c>
      <c r="G296" s="36">
        <v>1455074.99</v>
      </c>
      <c r="H296" s="36">
        <v>205989.84</v>
      </c>
      <c r="I296" s="36">
        <v>342536.5</v>
      </c>
      <c r="J296" s="36">
        <v>608815.26</v>
      </c>
      <c r="K296" s="36">
        <v>208437.68</v>
      </c>
      <c r="L296" s="36">
        <v>32934.19</v>
      </c>
      <c r="M296" s="36">
        <v>1154596.74</v>
      </c>
      <c r="N296" s="50">
        <v>6.3399999999999998E-2</v>
      </c>
      <c r="O296" s="53">
        <v>0.1933</v>
      </c>
      <c r="P296" s="36">
        <v>0</v>
      </c>
      <c r="Q296" s="66">
        <v>0</v>
      </c>
      <c r="R296" s="66">
        <v>0</v>
      </c>
      <c r="S296" s="67">
        <v>0</v>
      </c>
      <c r="T296" s="67">
        <v>0</v>
      </c>
      <c r="U296" s="67">
        <v>0</v>
      </c>
      <c r="V296" s="36">
        <v>0</v>
      </c>
      <c r="W296" s="67">
        <v>0</v>
      </c>
      <c r="X296" s="67">
        <v>0</v>
      </c>
      <c r="Y296" s="36">
        <v>0</v>
      </c>
      <c r="Z296" s="36">
        <v>0</v>
      </c>
      <c r="AA296" s="36">
        <v>14374.88</v>
      </c>
      <c r="AB296" s="36">
        <v>95983.05</v>
      </c>
      <c r="AC296" s="36">
        <v>394698.09</v>
      </c>
      <c r="AD296" s="36">
        <v>40.42</v>
      </c>
      <c r="AE296" s="36">
        <v>357758.44</v>
      </c>
      <c r="AF296" s="68">
        <f t="shared" si="75"/>
        <v>8851.0252350321625</v>
      </c>
      <c r="AG296" s="68">
        <f t="shared" si="76"/>
        <v>9764.9205838693724</v>
      </c>
      <c r="AH296" s="69">
        <f t="shared" si="77"/>
        <v>913.9</v>
      </c>
      <c r="AI296" s="36">
        <v>10.46</v>
      </c>
      <c r="AJ296" s="36">
        <v>90230.99</v>
      </c>
      <c r="AK296" s="68">
        <f t="shared" si="78"/>
        <v>8626.2896749521988</v>
      </c>
      <c r="AL296" s="68">
        <f t="shared" si="79"/>
        <v>9176.1998087954107</v>
      </c>
      <c r="AM296" s="69">
        <f t="shared" si="80"/>
        <v>549.91</v>
      </c>
      <c r="AN296" s="67">
        <v>0</v>
      </c>
      <c r="AO296" s="67">
        <v>0</v>
      </c>
    </row>
    <row r="297" spans="1:41" s="3" customFormat="1" ht="15">
      <c r="A297" s="58" t="s">
        <v>702</v>
      </c>
      <c r="B297" s="58" t="s">
        <v>300</v>
      </c>
      <c r="C297" s="58" t="str">
        <f t="shared" si="82"/>
        <v>39202 TOPPENISH SCHOOL DISTRICT</v>
      </c>
      <c r="D297" s="36">
        <v>130968.86</v>
      </c>
      <c r="E297" s="36">
        <v>263146.83</v>
      </c>
      <c r="F297" s="36">
        <v>81187.66</v>
      </c>
      <c r="G297" s="36">
        <v>5508203.71</v>
      </c>
      <c r="H297" s="36">
        <v>610100.65</v>
      </c>
      <c r="I297" s="36">
        <v>1090153.3500000001</v>
      </c>
      <c r="J297" s="36">
        <v>2681592.31</v>
      </c>
      <c r="K297" s="36">
        <v>1953516.25</v>
      </c>
      <c r="L297" s="36">
        <v>117711.22</v>
      </c>
      <c r="M297" s="36">
        <v>2050754.74</v>
      </c>
      <c r="N297" s="50">
        <v>7.0800000000000002E-2</v>
      </c>
      <c r="O297" s="53">
        <v>0.20050000000000001</v>
      </c>
      <c r="P297" s="36">
        <v>0</v>
      </c>
      <c r="Q297" s="66">
        <v>0</v>
      </c>
      <c r="R297" s="66">
        <v>0</v>
      </c>
      <c r="S297" s="67">
        <v>0</v>
      </c>
      <c r="T297" s="67">
        <v>0</v>
      </c>
      <c r="U297" s="67">
        <v>0</v>
      </c>
      <c r="V297" s="36">
        <v>0</v>
      </c>
      <c r="W297" s="67">
        <v>0</v>
      </c>
      <c r="X297" s="67">
        <v>0</v>
      </c>
      <c r="Y297" s="36">
        <v>0</v>
      </c>
      <c r="Z297" s="36">
        <v>113605.99</v>
      </c>
      <c r="AA297" s="36">
        <v>103914.17</v>
      </c>
      <c r="AB297" s="36">
        <v>1450968.8</v>
      </c>
      <c r="AC297" s="36">
        <v>5000524.34</v>
      </c>
      <c r="AD297" s="36">
        <v>542.38</v>
      </c>
      <c r="AE297" s="36">
        <v>4798733.8499999996</v>
      </c>
      <c r="AF297" s="68">
        <f t="shared" si="75"/>
        <v>8847.5494118514689</v>
      </c>
      <c r="AG297" s="68">
        <f t="shared" si="76"/>
        <v>9219.5957446808516</v>
      </c>
      <c r="AH297" s="69">
        <f t="shared" si="77"/>
        <v>372.05</v>
      </c>
      <c r="AI297" s="36">
        <v>158.26</v>
      </c>
      <c r="AJ297" s="36">
        <v>1365950.83</v>
      </c>
      <c r="AK297" s="68">
        <f t="shared" si="78"/>
        <v>8631.0554151396445</v>
      </c>
      <c r="AL297" s="68">
        <f t="shared" si="79"/>
        <v>9168.259825603438</v>
      </c>
      <c r="AM297" s="69">
        <f t="shared" si="80"/>
        <v>537.20000000000005</v>
      </c>
      <c r="AN297" s="67">
        <v>0</v>
      </c>
      <c r="AO297" s="67">
        <v>0</v>
      </c>
    </row>
    <row r="298" spans="1:41" s="3" customFormat="1" ht="15">
      <c r="A298" s="58" t="s">
        <v>671</v>
      </c>
      <c r="B298" s="58" t="s">
        <v>268</v>
      </c>
      <c r="C298" s="58" t="str">
        <f t="shared" si="82"/>
        <v>36300 TOUCHET SCHOOL DISTRICT</v>
      </c>
      <c r="D298" s="36">
        <v>0</v>
      </c>
      <c r="E298" s="36">
        <v>0</v>
      </c>
      <c r="F298" s="36">
        <v>0</v>
      </c>
      <c r="G298" s="36">
        <v>180077.76</v>
      </c>
      <c r="H298" s="36">
        <v>12837.47</v>
      </c>
      <c r="I298" s="36">
        <v>0</v>
      </c>
      <c r="J298" s="36">
        <v>68050.17</v>
      </c>
      <c r="K298" s="36">
        <v>56447.61</v>
      </c>
      <c r="L298" s="36">
        <v>6753.07</v>
      </c>
      <c r="M298" s="36">
        <v>192262.36</v>
      </c>
      <c r="N298" s="50">
        <v>4.3799999999999999E-2</v>
      </c>
      <c r="O298" s="53">
        <v>0.37890000000000001</v>
      </c>
      <c r="P298" s="36">
        <v>0</v>
      </c>
      <c r="Q298" s="66">
        <v>0</v>
      </c>
      <c r="R298" s="66">
        <v>0</v>
      </c>
      <c r="S298" s="67">
        <v>0</v>
      </c>
      <c r="T298" s="67">
        <v>0</v>
      </c>
      <c r="U298" s="67">
        <v>0</v>
      </c>
      <c r="V298" s="36">
        <v>0</v>
      </c>
      <c r="W298" s="67">
        <v>0</v>
      </c>
      <c r="X298" s="67">
        <v>0</v>
      </c>
      <c r="Y298" s="36">
        <v>0</v>
      </c>
      <c r="Z298" s="36">
        <v>0</v>
      </c>
      <c r="AA298" s="36">
        <v>0</v>
      </c>
      <c r="AB298" s="36">
        <v>29990.11</v>
      </c>
      <c r="AC298" s="36">
        <v>112979</v>
      </c>
      <c r="AD298" s="36">
        <v>12.07</v>
      </c>
      <c r="AE298" s="36">
        <v>106814.5</v>
      </c>
      <c r="AF298" s="68">
        <f t="shared" si="75"/>
        <v>8849.5857497928755</v>
      </c>
      <c r="AG298" s="68">
        <f t="shared" si="76"/>
        <v>9360.3148301574147</v>
      </c>
      <c r="AH298" s="69">
        <f t="shared" si="77"/>
        <v>510.73</v>
      </c>
      <c r="AI298" s="36">
        <v>3.27</v>
      </c>
      <c r="AJ298" s="36">
        <v>28335.08</v>
      </c>
      <c r="AK298" s="68">
        <f t="shared" si="78"/>
        <v>8665.1620795107046</v>
      </c>
      <c r="AL298" s="68">
        <f t="shared" si="79"/>
        <v>9171.2874617736998</v>
      </c>
      <c r="AM298" s="69">
        <f t="shared" si="80"/>
        <v>506.13</v>
      </c>
      <c r="AN298" s="67">
        <v>0</v>
      </c>
      <c r="AO298" s="67">
        <v>0</v>
      </c>
    </row>
    <row r="299" spans="1:41" s="3" customFormat="1" ht="15">
      <c r="A299" s="58" t="s">
        <v>456</v>
      </c>
      <c r="B299" s="58" t="s">
        <v>49</v>
      </c>
      <c r="C299" s="58" t="str">
        <f t="shared" si="82"/>
        <v>08130 TOUTLE LAKE SCHOOL DISTRICT</v>
      </c>
      <c r="D299" s="36">
        <v>0</v>
      </c>
      <c r="E299" s="36">
        <v>17783.91</v>
      </c>
      <c r="F299" s="36">
        <v>0</v>
      </c>
      <c r="G299" s="36">
        <v>0</v>
      </c>
      <c r="H299" s="36">
        <v>0</v>
      </c>
      <c r="I299" s="36">
        <v>0</v>
      </c>
      <c r="J299" s="36">
        <v>203352.7</v>
      </c>
      <c r="K299" s="36">
        <v>0</v>
      </c>
      <c r="L299" s="36">
        <v>0</v>
      </c>
      <c r="M299" s="36">
        <v>601491.22</v>
      </c>
      <c r="N299" s="50">
        <v>3.8100000000000002E-2</v>
      </c>
      <c r="O299" s="53">
        <v>0.15939999999999999</v>
      </c>
      <c r="P299" s="36">
        <v>0</v>
      </c>
      <c r="Q299" s="66">
        <v>0</v>
      </c>
      <c r="R299" s="66">
        <v>0</v>
      </c>
      <c r="S299" s="67">
        <v>0</v>
      </c>
      <c r="T299" s="67">
        <v>0</v>
      </c>
      <c r="U299" s="67">
        <v>0</v>
      </c>
      <c r="V299" s="36">
        <v>0</v>
      </c>
      <c r="W299" s="67">
        <v>0</v>
      </c>
      <c r="X299" s="67">
        <v>0</v>
      </c>
      <c r="Y299" s="36">
        <v>0</v>
      </c>
      <c r="Z299" s="36">
        <v>15155.98</v>
      </c>
      <c r="AA299" s="36">
        <v>0</v>
      </c>
      <c r="AB299" s="36">
        <v>104004.77</v>
      </c>
      <c r="AC299" s="36">
        <v>267577.14</v>
      </c>
      <c r="AD299" s="36">
        <v>26.49</v>
      </c>
      <c r="AE299" s="36">
        <v>236644.1</v>
      </c>
      <c r="AF299" s="68">
        <f t="shared" si="75"/>
        <v>8933.3371083427719</v>
      </c>
      <c r="AG299" s="68">
        <f t="shared" si="76"/>
        <v>10101.062287655721</v>
      </c>
      <c r="AH299" s="69">
        <f t="shared" si="77"/>
        <v>1167.73</v>
      </c>
      <c r="AI299" s="36">
        <v>11.24</v>
      </c>
      <c r="AJ299" s="36">
        <v>97977.44</v>
      </c>
      <c r="AK299" s="68">
        <f t="shared" si="78"/>
        <v>8716.8540925266898</v>
      </c>
      <c r="AL299" s="68">
        <f t="shared" si="79"/>
        <v>9253.0934163701077</v>
      </c>
      <c r="AM299" s="69">
        <f t="shared" si="80"/>
        <v>536.24</v>
      </c>
      <c r="AN299" s="67">
        <v>0</v>
      </c>
      <c r="AO299" s="67">
        <v>0</v>
      </c>
    </row>
    <row r="300" spans="1:41" s="3" customFormat="1" ht="15">
      <c r="A300" s="58" t="s">
        <v>541</v>
      </c>
      <c r="B300" s="58" t="s">
        <v>134</v>
      </c>
      <c r="C300" s="58" t="str">
        <f t="shared" si="82"/>
        <v>20400 TROUT LAKE SCHOOL DISTRICT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43219.65</v>
      </c>
      <c r="K300" s="36">
        <v>25518.83</v>
      </c>
      <c r="L300" s="36">
        <v>6129.7</v>
      </c>
      <c r="M300" s="36">
        <v>140501.57999999999</v>
      </c>
      <c r="N300" s="50">
        <v>3.7499999999999999E-2</v>
      </c>
      <c r="O300" s="53">
        <v>0.2142</v>
      </c>
      <c r="P300" s="36">
        <v>0</v>
      </c>
      <c r="Q300" s="66">
        <v>0</v>
      </c>
      <c r="R300" s="66">
        <v>0</v>
      </c>
      <c r="S300" s="67">
        <v>0</v>
      </c>
      <c r="T300" s="67">
        <v>0</v>
      </c>
      <c r="U300" s="67">
        <v>0</v>
      </c>
      <c r="V300" s="36">
        <v>0</v>
      </c>
      <c r="W300" s="67">
        <v>0</v>
      </c>
      <c r="X300" s="67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585.13</v>
      </c>
      <c r="AD300" s="36">
        <v>0</v>
      </c>
      <c r="AE300" s="36">
        <v>0</v>
      </c>
      <c r="AF300" s="68">
        <f t="shared" si="75"/>
        <v>0</v>
      </c>
      <c r="AG300" s="68">
        <f t="shared" si="76"/>
        <v>0</v>
      </c>
      <c r="AH300" s="69">
        <f t="shared" si="77"/>
        <v>0</v>
      </c>
      <c r="AI300" s="36">
        <v>0</v>
      </c>
      <c r="AJ300" s="36">
        <v>0</v>
      </c>
      <c r="AK300" s="68">
        <f t="shared" si="78"/>
        <v>0</v>
      </c>
      <c r="AL300" s="68">
        <f t="shared" si="79"/>
        <v>0</v>
      </c>
      <c r="AM300" s="69">
        <f t="shared" si="80"/>
        <v>0</v>
      </c>
      <c r="AN300" s="67">
        <v>0</v>
      </c>
      <c r="AO300" s="67">
        <v>0</v>
      </c>
    </row>
    <row r="301" spans="1:41" s="3" customFormat="1" ht="15">
      <c r="A301" s="58" t="s">
        <v>517</v>
      </c>
      <c r="B301" s="58" t="s">
        <v>110</v>
      </c>
      <c r="C301" s="58" t="str">
        <f t="shared" si="82"/>
        <v>17406 TUKWILA SCHOOL DISTRICT</v>
      </c>
      <c r="D301" s="36">
        <v>0</v>
      </c>
      <c r="E301" s="36">
        <v>142723.92000000001</v>
      </c>
      <c r="F301" s="36">
        <v>61091.47</v>
      </c>
      <c r="G301" s="36">
        <v>4403487.13</v>
      </c>
      <c r="H301" s="36">
        <v>893249.1</v>
      </c>
      <c r="I301" s="36">
        <v>885417.57</v>
      </c>
      <c r="J301" s="36">
        <v>1445412.93</v>
      </c>
      <c r="K301" s="36">
        <v>2271740.5</v>
      </c>
      <c r="L301" s="36">
        <v>94093.65</v>
      </c>
      <c r="M301" s="36">
        <v>1167953.3400000001</v>
      </c>
      <c r="N301" s="50">
        <v>3.1600000000000003E-2</v>
      </c>
      <c r="O301" s="53">
        <v>0.1646</v>
      </c>
      <c r="P301" s="36">
        <v>0</v>
      </c>
      <c r="Q301" s="66">
        <v>0</v>
      </c>
      <c r="R301" s="66">
        <v>0</v>
      </c>
      <c r="S301" s="67">
        <v>0</v>
      </c>
      <c r="T301" s="67">
        <v>0</v>
      </c>
      <c r="U301" s="67">
        <v>0</v>
      </c>
      <c r="V301" s="36">
        <v>0</v>
      </c>
      <c r="W301" s="67">
        <v>0</v>
      </c>
      <c r="X301" s="67">
        <v>0</v>
      </c>
      <c r="Y301" s="36">
        <v>0</v>
      </c>
      <c r="Z301" s="36">
        <v>0</v>
      </c>
      <c r="AA301" s="36">
        <v>80721.22</v>
      </c>
      <c r="AB301" s="36">
        <v>115661.48</v>
      </c>
      <c r="AC301" s="36">
        <v>1791264.83</v>
      </c>
      <c r="AD301" s="36">
        <v>166.11</v>
      </c>
      <c r="AE301" s="36">
        <v>1651297.09</v>
      </c>
      <c r="AF301" s="68">
        <f t="shared" si="75"/>
        <v>9940.9854313406777</v>
      </c>
      <c r="AG301" s="68">
        <f t="shared" si="76"/>
        <v>10783.606224790801</v>
      </c>
      <c r="AH301" s="69">
        <f t="shared" si="77"/>
        <v>842.62</v>
      </c>
      <c r="AI301" s="36">
        <v>11.22</v>
      </c>
      <c r="AJ301" s="36">
        <v>109017.33</v>
      </c>
      <c r="AK301" s="68">
        <f t="shared" si="78"/>
        <v>9716.3395721925135</v>
      </c>
      <c r="AL301" s="68">
        <f t="shared" si="79"/>
        <v>10308.509803921568</v>
      </c>
      <c r="AM301" s="69">
        <f t="shared" si="80"/>
        <v>592.16999999999996</v>
      </c>
      <c r="AN301" s="67">
        <v>0</v>
      </c>
      <c r="AO301" s="67">
        <v>0</v>
      </c>
    </row>
    <row r="302" spans="1:41" s="3" customFormat="1" ht="15">
      <c r="A302" s="58" t="s">
        <v>661</v>
      </c>
      <c r="B302" s="58" t="s">
        <v>258</v>
      </c>
      <c r="C302" s="58" t="str">
        <f t="shared" si="82"/>
        <v>34033 TUMWATER SCHOOL DISTRICT</v>
      </c>
      <c r="D302" s="36">
        <v>0</v>
      </c>
      <c r="E302" s="36">
        <v>136563.22</v>
      </c>
      <c r="F302" s="36">
        <v>0</v>
      </c>
      <c r="G302" s="36">
        <v>9870984.3900000006</v>
      </c>
      <c r="H302" s="36">
        <v>1906398.08</v>
      </c>
      <c r="I302" s="36">
        <v>0</v>
      </c>
      <c r="J302" s="36">
        <v>1451286.78</v>
      </c>
      <c r="K302" s="36">
        <v>268559.99</v>
      </c>
      <c r="L302" s="36">
        <v>195423.47</v>
      </c>
      <c r="M302" s="36">
        <v>4093732.68</v>
      </c>
      <c r="N302" s="50">
        <v>2.3199999999999998E-2</v>
      </c>
      <c r="O302" s="53">
        <v>0.14199999999999999</v>
      </c>
      <c r="P302" s="36">
        <v>0</v>
      </c>
      <c r="Q302" s="66">
        <v>0</v>
      </c>
      <c r="R302" s="66">
        <v>0</v>
      </c>
      <c r="S302" s="67">
        <v>154143.29999999999</v>
      </c>
      <c r="T302" s="67">
        <v>16433.520000000015</v>
      </c>
      <c r="U302" s="67">
        <v>5959.81</v>
      </c>
      <c r="V302" s="36">
        <v>0</v>
      </c>
      <c r="W302" s="67">
        <v>0</v>
      </c>
      <c r="X302" s="67">
        <v>0</v>
      </c>
      <c r="Y302" s="36">
        <v>0</v>
      </c>
      <c r="Z302" s="36">
        <v>117131.98</v>
      </c>
      <c r="AA302" s="36">
        <v>364081.82</v>
      </c>
      <c r="AB302" s="36">
        <v>1472644.85</v>
      </c>
      <c r="AC302" s="36">
        <v>4012763.28</v>
      </c>
      <c r="AD302" s="36">
        <v>415.68</v>
      </c>
      <c r="AE302" s="36">
        <v>3677777.58</v>
      </c>
      <c r="AF302" s="68">
        <f t="shared" si="75"/>
        <v>8847.6173498845274</v>
      </c>
      <c r="AG302" s="68">
        <f t="shared" si="76"/>
        <v>9653.4913394919167</v>
      </c>
      <c r="AH302" s="69">
        <f t="shared" si="77"/>
        <v>805.87</v>
      </c>
      <c r="AI302" s="36">
        <v>160.61000000000001</v>
      </c>
      <c r="AJ302" s="36">
        <v>1386074.02</v>
      </c>
      <c r="AK302" s="68">
        <f t="shared" si="78"/>
        <v>8630.0605192702806</v>
      </c>
      <c r="AL302" s="68">
        <f t="shared" si="79"/>
        <v>9169.0732208455265</v>
      </c>
      <c r="AM302" s="69">
        <f t="shared" si="80"/>
        <v>539.01</v>
      </c>
      <c r="AN302" s="67">
        <v>0</v>
      </c>
      <c r="AO302" s="67">
        <v>0</v>
      </c>
    </row>
    <row r="303" spans="1:41" s="3" customFormat="1" ht="15">
      <c r="A303" s="58" t="s">
        <v>695</v>
      </c>
      <c r="B303" s="58" t="s">
        <v>292</v>
      </c>
      <c r="C303" s="58" t="str">
        <f t="shared" si="82"/>
        <v>39002 UNION GAP SCHOOL DISTRICT</v>
      </c>
      <c r="D303" s="36">
        <v>1436.95</v>
      </c>
      <c r="E303" s="36">
        <v>0</v>
      </c>
      <c r="F303" s="36">
        <v>17524.28</v>
      </c>
      <c r="G303" s="36">
        <v>935642.41</v>
      </c>
      <c r="H303" s="36">
        <v>108026.69</v>
      </c>
      <c r="I303" s="36">
        <v>170489.05</v>
      </c>
      <c r="J303" s="36">
        <v>328095.31</v>
      </c>
      <c r="K303" s="36">
        <v>228342.34</v>
      </c>
      <c r="L303" s="36">
        <v>16207.36</v>
      </c>
      <c r="M303" s="36">
        <v>143687.97</v>
      </c>
      <c r="N303" s="50">
        <v>2.0799999999999999E-2</v>
      </c>
      <c r="O303" s="53">
        <v>0.24679999999999999</v>
      </c>
      <c r="P303" s="36">
        <v>0</v>
      </c>
      <c r="Q303" s="66">
        <v>0</v>
      </c>
      <c r="R303" s="66">
        <v>0</v>
      </c>
      <c r="S303" s="67">
        <v>0</v>
      </c>
      <c r="T303" s="67">
        <v>0</v>
      </c>
      <c r="U303" s="67">
        <v>0</v>
      </c>
      <c r="V303" s="36">
        <v>0</v>
      </c>
      <c r="W303" s="67">
        <v>0</v>
      </c>
      <c r="X303" s="67">
        <v>0</v>
      </c>
      <c r="Y303" s="36">
        <v>0</v>
      </c>
      <c r="Z303" s="36">
        <v>0</v>
      </c>
      <c r="AA303" s="36">
        <v>0</v>
      </c>
      <c r="AB303" s="36">
        <v>0</v>
      </c>
      <c r="AC303" s="36">
        <v>0</v>
      </c>
      <c r="AD303" s="36">
        <v>0</v>
      </c>
      <c r="AE303" s="36">
        <v>0</v>
      </c>
      <c r="AF303" s="68">
        <f t="shared" si="75"/>
        <v>0</v>
      </c>
      <c r="AG303" s="68">
        <f t="shared" si="76"/>
        <v>0</v>
      </c>
      <c r="AH303" s="69">
        <f t="shared" si="77"/>
        <v>0</v>
      </c>
      <c r="AI303" s="36">
        <v>0</v>
      </c>
      <c r="AJ303" s="36">
        <v>0</v>
      </c>
      <c r="AK303" s="68">
        <f t="shared" si="78"/>
        <v>0</v>
      </c>
      <c r="AL303" s="68">
        <f t="shared" si="79"/>
        <v>0</v>
      </c>
      <c r="AM303" s="69">
        <f t="shared" si="80"/>
        <v>0</v>
      </c>
      <c r="AN303" s="67">
        <v>0</v>
      </c>
      <c r="AO303" s="67">
        <v>0</v>
      </c>
    </row>
    <row r="304" spans="1:41" s="3" customFormat="1" ht="15">
      <c r="A304" s="58" t="s">
        <v>596</v>
      </c>
      <c r="B304" s="58" t="s">
        <v>190</v>
      </c>
      <c r="C304" s="58" t="str">
        <f t="shared" si="82"/>
        <v>27083 UNIVERSITY PLACE SCHOOL DISTRICT</v>
      </c>
      <c r="D304" s="36">
        <v>0</v>
      </c>
      <c r="E304" s="36">
        <v>0</v>
      </c>
      <c r="F304" s="36">
        <v>0</v>
      </c>
      <c r="G304" s="36">
        <v>6300141.5</v>
      </c>
      <c r="H304" s="36">
        <v>1452689.77</v>
      </c>
      <c r="I304" s="36">
        <v>0</v>
      </c>
      <c r="J304" s="36">
        <v>1585703.42</v>
      </c>
      <c r="K304" s="36">
        <v>624046.77</v>
      </c>
      <c r="L304" s="36">
        <v>178974.58</v>
      </c>
      <c r="M304" s="36">
        <v>2800811.13</v>
      </c>
      <c r="N304" s="50">
        <v>4.1099999999999998E-2</v>
      </c>
      <c r="O304" s="53">
        <v>0.15040000000000001</v>
      </c>
      <c r="P304" s="36">
        <v>0</v>
      </c>
      <c r="Q304" s="66">
        <v>0</v>
      </c>
      <c r="R304" s="66">
        <v>0</v>
      </c>
      <c r="S304" s="67">
        <v>0</v>
      </c>
      <c r="T304" s="67">
        <v>0</v>
      </c>
      <c r="U304" s="67">
        <v>0</v>
      </c>
      <c r="V304" s="36">
        <v>0</v>
      </c>
      <c r="W304" s="67">
        <v>0</v>
      </c>
      <c r="X304" s="67">
        <v>0</v>
      </c>
      <c r="Y304" s="36">
        <v>0</v>
      </c>
      <c r="Z304" s="36">
        <v>0</v>
      </c>
      <c r="AA304" s="36">
        <v>31658.959999999999</v>
      </c>
      <c r="AB304" s="36">
        <v>0</v>
      </c>
      <c r="AC304" s="36">
        <v>3027545.52</v>
      </c>
      <c r="AD304" s="36">
        <v>299.13</v>
      </c>
      <c r="AE304" s="36">
        <v>2808134.21</v>
      </c>
      <c r="AF304" s="68">
        <f t="shared" si="75"/>
        <v>9387.6716143482772</v>
      </c>
      <c r="AG304" s="68">
        <f t="shared" si="76"/>
        <v>10121.169792397954</v>
      </c>
      <c r="AH304" s="69">
        <f t="shared" si="77"/>
        <v>733.5</v>
      </c>
      <c r="AI304" s="36">
        <v>0</v>
      </c>
      <c r="AJ304" s="36">
        <v>0</v>
      </c>
      <c r="AK304" s="68">
        <f t="shared" si="78"/>
        <v>0</v>
      </c>
      <c r="AL304" s="68">
        <f t="shared" si="79"/>
        <v>0</v>
      </c>
      <c r="AM304" s="69">
        <f t="shared" si="80"/>
        <v>0</v>
      </c>
      <c r="AN304" s="67">
        <v>0</v>
      </c>
      <c r="AO304" s="67">
        <v>0</v>
      </c>
    </row>
    <row r="305" spans="1:41" s="3" customFormat="1" ht="15">
      <c r="A305" s="58" t="s">
        <v>652</v>
      </c>
      <c r="B305" s="58" t="s">
        <v>247</v>
      </c>
      <c r="C305" s="58" t="str">
        <f t="shared" si="82"/>
        <v>33070 VALLEY SCHOOL DISTRICT</v>
      </c>
      <c r="D305" s="36">
        <v>0</v>
      </c>
      <c r="E305" s="36">
        <v>0</v>
      </c>
      <c r="F305" s="36">
        <v>7634.55</v>
      </c>
      <c r="G305" s="36">
        <v>1078873.44</v>
      </c>
      <c r="H305" s="36">
        <v>104228.44</v>
      </c>
      <c r="I305" s="36">
        <v>68361.86</v>
      </c>
      <c r="J305" s="36">
        <v>180047.25</v>
      </c>
      <c r="K305" s="36">
        <v>73902.5</v>
      </c>
      <c r="L305" s="36">
        <v>29817.4</v>
      </c>
      <c r="M305" s="36">
        <v>1490250.7</v>
      </c>
      <c r="N305" s="50">
        <v>5.6500000000000002E-2</v>
      </c>
      <c r="O305" s="53">
        <v>0.20730000000000001</v>
      </c>
      <c r="P305" s="36">
        <v>0</v>
      </c>
      <c r="Q305" s="66">
        <v>0</v>
      </c>
      <c r="R305" s="66">
        <v>0</v>
      </c>
      <c r="S305" s="67">
        <v>0</v>
      </c>
      <c r="T305" s="67">
        <v>0</v>
      </c>
      <c r="U305" s="67">
        <v>0</v>
      </c>
      <c r="V305" s="36">
        <v>0</v>
      </c>
      <c r="W305" s="67">
        <v>0</v>
      </c>
      <c r="X305" s="67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68">
        <f t="shared" si="75"/>
        <v>0</v>
      </c>
      <c r="AG305" s="68">
        <f t="shared" si="76"/>
        <v>0</v>
      </c>
      <c r="AH305" s="69">
        <f t="shared" si="77"/>
        <v>0</v>
      </c>
      <c r="AI305" s="36">
        <v>0</v>
      </c>
      <c r="AJ305" s="36">
        <v>0</v>
      </c>
      <c r="AK305" s="68">
        <f t="shared" si="78"/>
        <v>0</v>
      </c>
      <c r="AL305" s="68">
        <f t="shared" si="79"/>
        <v>0</v>
      </c>
      <c r="AM305" s="69">
        <f t="shared" si="80"/>
        <v>0</v>
      </c>
      <c r="AN305" s="67">
        <v>0</v>
      </c>
      <c r="AO305" s="67">
        <v>0</v>
      </c>
    </row>
    <row r="306" spans="1:41" s="3" customFormat="1" ht="15">
      <c r="A306" s="58" t="s">
        <v>444</v>
      </c>
      <c r="B306" s="58" t="s">
        <v>37</v>
      </c>
      <c r="C306" s="58" t="str">
        <f t="shared" si="82"/>
        <v>06037 VANCOUVER SCHOOL DISTRICT</v>
      </c>
      <c r="D306" s="36">
        <v>0</v>
      </c>
      <c r="E306" s="36">
        <v>0</v>
      </c>
      <c r="F306" s="36">
        <v>160442.54</v>
      </c>
      <c r="G306" s="36">
        <v>38642596.32</v>
      </c>
      <c r="H306" s="36">
        <v>8419990.1199999992</v>
      </c>
      <c r="I306" s="36">
        <v>4095095.49</v>
      </c>
      <c r="J306" s="36">
        <v>7779916.2300000004</v>
      </c>
      <c r="K306" s="36">
        <v>5930211.2699999996</v>
      </c>
      <c r="L306" s="36">
        <v>671219.6</v>
      </c>
      <c r="M306" s="36">
        <v>12987645.91</v>
      </c>
      <c r="N306" s="50">
        <v>5.45E-2</v>
      </c>
      <c r="O306" s="53">
        <v>0.15129999999999999</v>
      </c>
      <c r="P306" s="36">
        <v>0</v>
      </c>
      <c r="Q306" s="66">
        <v>0</v>
      </c>
      <c r="R306" s="66">
        <v>0</v>
      </c>
      <c r="S306" s="67">
        <v>0</v>
      </c>
      <c r="T306" s="67">
        <v>0</v>
      </c>
      <c r="U306" s="67">
        <v>0</v>
      </c>
      <c r="V306" s="36">
        <v>0</v>
      </c>
      <c r="W306" s="67">
        <v>0</v>
      </c>
      <c r="X306" s="67">
        <v>0</v>
      </c>
      <c r="Y306" s="36">
        <v>0</v>
      </c>
      <c r="Z306" s="36">
        <v>246590.25</v>
      </c>
      <c r="AA306" s="36">
        <v>246227.92</v>
      </c>
      <c r="AB306" s="36">
        <v>2594767.4700000002</v>
      </c>
      <c r="AC306" s="36">
        <v>13888377.25</v>
      </c>
      <c r="AD306" s="36">
        <v>1447.91</v>
      </c>
      <c r="AE306" s="36">
        <v>13338711.18</v>
      </c>
      <c r="AF306" s="68">
        <f t="shared" si="75"/>
        <v>9212.3897065425335</v>
      </c>
      <c r="AG306" s="68">
        <f t="shared" si="76"/>
        <v>9592.0169416607387</v>
      </c>
      <c r="AH306" s="69">
        <f t="shared" si="77"/>
        <v>379.63</v>
      </c>
      <c r="AI306" s="36">
        <v>271.62</v>
      </c>
      <c r="AJ306" s="36">
        <v>2442960.4300000002</v>
      </c>
      <c r="AK306" s="68">
        <f t="shared" si="78"/>
        <v>8994.0373683823</v>
      </c>
      <c r="AL306" s="68">
        <f t="shared" si="79"/>
        <v>9552.9322951181803</v>
      </c>
      <c r="AM306" s="69">
        <f t="shared" si="80"/>
        <v>558.89</v>
      </c>
      <c r="AN306" s="67">
        <v>0</v>
      </c>
      <c r="AO306" s="67">
        <v>0</v>
      </c>
    </row>
    <row r="307" spans="1:41" s="3" customFormat="1" ht="15">
      <c r="A307" s="58" t="s">
        <v>513</v>
      </c>
      <c r="B307" s="58" t="s">
        <v>106</v>
      </c>
      <c r="C307" s="58" t="str">
        <f t="shared" si="82"/>
        <v>17402 VASHON ISLAND SCHOOL DISTRICT</v>
      </c>
      <c r="D307" s="36">
        <v>0</v>
      </c>
      <c r="E307" s="36">
        <v>0</v>
      </c>
      <c r="F307" s="36">
        <v>1623.86</v>
      </c>
      <c r="G307" s="36">
        <v>2148164.08</v>
      </c>
      <c r="H307" s="36">
        <v>285061.90000000002</v>
      </c>
      <c r="I307" s="36">
        <v>19289.98</v>
      </c>
      <c r="J307" s="36">
        <v>283314.28000000003</v>
      </c>
      <c r="K307" s="36">
        <v>153828.47</v>
      </c>
      <c r="L307" s="36">
        <v>48757.52</v>
      </c>
      <c r="M307" s="36">
        <v>1322329.21</v>
      </c>
      <c r="N307" s="50">
        <v>4.7100000000000003E-2</v>
      </c>
      <c r="O307" s="53">
        <v>0.21740000000000001</v>
      </c>
      <c r="P307" s="36">
        <v>0</v>
      </c>
      <c r="Q307" s="66">
        <v>0</v>
      </c>
      <c r="R307" s="66">
        <v>0</v>
      </c>
      <c r="S307" s="67">
        <v>0</v>
      </c>
      <c r="T307" s="67">
        <v>0</v>
      </c>
      <c r="U307" s="67">
        <v>0</v>
      </c>
      <c r="V307" s="36">
        <v>0</v>
      </c>
      <c r="W307" s="67">
        <v>0</v>
      </c>
      <c r="X307" s="67">
        <v>0</v>
      </c>
      <c r="Y307" s="36">
        <v>0</v>
      </c>
      <c r="Z307" s="36">
        <v>11661.19</v>
      </c>
      <c r="AA307" s="36">
        <v>0</v>
      </c>
      <c r="AB307" s="36">
        <v>428577.96</v>
      </c>
      <c r="AC307" s="36">
        <v>843471.82</v>
      </c>
      <c r="AD307" s="36">
        <v>82.69</v>
      </c>
      <c r="AE307" s="36">
        <v>806521.49</v>
      </c>
      <c r="AF307" s="68">
        <f t="shared" si="75"/>
        <v>9753.5553271254084</v>
      </c>
      <c r="AG307" s="68">
        <f t="shared" si="76"/>
        <v>10200.408997460394</v>
      </c>
      <c r="AH307" s="69">
        <f t="shared" si="77"/>
        <v>446.85</v>
      </c>
      <c r="AI307" s="36">
        <v>42.3</v>
      </c>
      <c r="AJ307" s="36">
        <v>403185.77</v>
      </c>
      <c r="AK307" s="68">
        <f t="shared" si="78"/>
        <v>9531.5784869976378</v>
      </c>
      <c r="AL307" s="68">
        <f t="shared" si="79"/>
        <v>10131.866666666669</v>
      </c>
      <c r="AM307" s="69">
        <f t="shared" si="80"/>
        <v>600.29</v>
      </c>
      <c r="AN307" s="67">
        <v>0</v>
      </c>
      <c r="AO307" s="67">
        <v>0</v>
      </c>
    </row>
    <row r="308" spans="1:41" s="3" customFormat="1" ht="15">
      <c r="A308" s="58" t="s">
        <v>724</v>
      </c>
      <c r="B308" s="58" t="s">
        <v>725</v>
      </c>
      <c r="C308" s="61" t="str">
        <f>CONCATENATE(B308," ",A308," TRIBAL COMPACT")</f>
        <v>34901 WA HE LUT TRIBAL COMPACT</v>
      </c>
      <c r="D308" s="36">
        <v>11296.24</v>
      </c>
      <c r="E308" s="36">
        <v>0</v>
      </c>
      <c r="F308" s="36">
        <v>3761.18</v>
      </c>
      <c r="G308" s="36">
        <v>220471.24</v>
      </c>
      <c r="H308" s="36">
        <v>58705.72</v>
      </c>
      <c r="I308" s="36">
        <v>41784.19</v>
      </c>
      <c r="J308" s="36">
        <v>90409.600000000006</v>
      </c>
      <c r="K308" s="36">
        <v>0</v>
      </c>
      <c r="L308" s="36">
        <v>0</v>
      </c>
      <c r="M308" s="36">
        <v>240660.82</v>
      </c>
      <c r="N308" s="50">
        <v>3.7100000000000001E-2</v>
      </c>
      <c r="O308" s="54">
        <v>0.14399999999999999</v>
      </c>
      <c r="P308" s="36">
        <v>0</v>
      </c>
      <c r="Q308" s="66">
        <v>0</v>
      </c>
      <c r="R308" s="66">
        <v>0</v>
      </c>
      <c r="S308" s="67">
        <v>0</v>
      </c>
      <c r="T308" s="67">
        <v>0</v>
      </c>
      <c r="U308" s="67">
        <v>0</v>
      </c>
      <c r="V308" s="36">
        <v>0</v>
      </c>
      <c r="W308" s="67">
        <v>0</v>
      </c>
      <c r="X308" s="67">
        <v>0</v>
      </c>
      <c r="Y308" s="36">
        <v>0</v>
      </c>
      <c r="Z308" s="36">
        <v>0</v>
      </c>
      <c r="AA308" s="36">
        <v>0</v>
      </c>
      <c r="AB308" s="36">
        <v>0</v>
      </c>
      <c r="AC308" s="36">
        <v>0</v>
      </c>
      <c r="AD308" s="36">
        <v>0</v>
      </c>
      <c r="AE308" s="36">
        <v>0</v>
      </c>
      <c r="AF308" s="68">
        <f t="shared" si="75"/>
        <v>0</v>
      </c>
      <c r="AG308" s="68">
        <f t="shared" si="76"/>
        <v>0</v>
      </c>
      <c r="AH308" s="69">
        <f t="shared" si="77"/>
        <v>0</v>
      </c>
      <c r="AI308" s="36">
        <v>0</v>
      </c>
      <c r="AJ308" s="36">
        <v>0</v>
      </c>
      <c r="AK308" s="68">
        <f t="shared" si="78"/>
        <v>0</v>
      </c>
      <c r="AL308" s="68">
        <f t="shared" si="79"/>
        <v>0</v>
      </c>
      <c r="AM308" s="69">
        <f t="shared" si="80"/>
        <v>0</v>
      </c>
      <c r="AN308" s="67">
        <v>0</v>
      </c>
      <c r="AO308" s="67">
        <v>0</v>
      </c>
    </row>
    <row r="309" spans="1:41" s="3" customFormat="1" ht="15">
      <c r="A309" s="58" t="s">
        <v>667</v>
      </c>
      <c r="B309" s="60" t="s">
        <v>264</v>
      </c>
      <c r="C309" s="58" t="str">
        <f t="shared" ref="C309:C321" si="83">CONCATENATE(B309," ",A309," SCHOOL DISTRICT")</f>
        <v>35200 WAHKIAKUM SCHOOL DISTRICT</v>
      </c>
      <c r="D309" s="36">
        <v>0</v>
      </c>
      <c r="E309" s="36">
        <v>0</v>
      </c>
      <c r="F309" s="36">
        <v>7698.06</v>
      </c>
      <c r="G309" s="36">
        <v>0</v>
      </c>
      <c r="H309" s="36">
        <v>0</v>
      </c>
      <c r="I309" s="36">
        <v>135762.32</v>
      </c>
      <c r="J309" s="36">
        <v>171557.14</v>
      </c>
      <c r="K309" s="36">
        <v>0</v>
      </c>
      <c r="L309" s="36">
        <v>12684.05</v>
      </c>
      <c r="M309" s="36">
        <v>405119.7</v>
      </c>
      <c r="N309" s="50">
        <v>2.06E-2</v>
      </c>
      <c r="O309" s="53">
        <v>0.2656</v>
      </c>
      <c r="P309" s="36">
        <v>0</v>
      </c>
      <c r="Q309" s="66">
        <v>0</v>
      </c>
      <c r="R309" s="66">
        <v>0</v>
      </c>
      <c r="S309" s="67">
        <v>0</v>
      </c>
      <c r="T309" s="67">
        <v>0</v>
      </c>
      <c r="U309" s="67">
        <v>0</v>
      </c>
      <c r="V309" s="36">
        <v>0</v>
      </c>
      <c r="W309" s="67">
        <v>0</v>
      </c>
      <c r="X309" s="67">
        <v>0</v>
      </c>
      <c r="Y309" s="36">
        <v>0</v>
      </c>
      <c r="Z309" s="36">
        <v>0</v>
      </c>
      <c r="AA309" s="36">
        <v>0</v>
      </c>
      <c r="AB309" s="36">
        <v>0</v>
      </c>
      <c r="AC309" s="36">
        <v>255514.49</v>
      </c>
      <c r="AD309" s="36">
        <v>27.1</v>
      </c>
      <c r="AE309" s="36">
        <v>244611.78</v>
      </c>
      <c r="AF309" s="68">
        <f t="shared" si="75"/>
        <v>9026.2649446494452</v>
      </c>
      <c r="AG309" s="68">
        <f t="shared" si="76"/>
        <v>9428.5789667896679</v>
      </c>
      <c r="AH309" s="69">
        <f t="shared" si="77"/>
        <v>402.31</v>
      </c>
      <c r="AI309" s="36">
        <v>0</v>
      </c>
      <c r="AJ309" s="36">
        <v>0</v>
      </c>
      <c r="AK309" s="68">
        <f t="shared" si="78"/>
        <v>0</v>
      </c>
      <c r="AL309" s="68">
        <f t="shared" si="79"/>
        <v>0</v>
      </c>
      <c r="AM309" s="69">
        <f t="shared" si="80"/>
        <v>0</v>
      </c>
      <c r="AN309" s="67">
        <v>0</v>
      </c>
      <c r="AO309" s="67">
        <v>0</v>
      </c>
    </row>
    <row r="310" spans="1:41" s="3" customFormat="1" ht="15">
      <c r="A310" s="58" t="s">
        <v>477</v>
      </c>
      <c r="B310" s="58" t="s">
        <v>70</v>
      </c>
      <c r="C310" s="58" t="str">
        <f t="shared" si="83"/>
        <v>13073 WAHLUKE SCHOOL DISTRICT</v>
      </c>
      <c r="D310" s="36">
        <v>0</v>
      </c>
      <c r="E310" s="36">
        <v>100252.87</v>
      </c>
      <c r="F310" s="36">
        <v>0</v>
      </c>
      <c r="G310" s="36">
        <v>3269565.82</v>
      </c>
      <c r="H310" s="36">
        <v>624069.80000000005</v>
      </c>
      <c r="I310" s="36">
        <v>718526.69</v>
      </c>
      <c r="J310" s="36">
        <v>1478091.26</v>
      </c>
      <c r="K310" s="36">
        <v>2062532.62</v>
      </c>
      <c r="L310" s="36">
        <v>69089.100000000006</v>
      </c>
      <c r="M310" s="36">
        <v>1370229.07</v>
      </c>
      <c r="N310" s="50">
        <v>2.76E-2</v>
      </c>
      <c r="O310" s="53">
        <v>0.14949999999999999</v>
      </c>
      <c r="P310" s="36">
        <v>0</v>
      </c>
      <c r="Q310" s="66">
        <v>0</v>
      </c>
      <c r="R310" s="66">
        <v>0</v>
      </c>
      <c r="S310" s="67">
        <v>0</v>
      </c>
      <c r="T310" s="67">
        <v>0</v>
      </c>
      <c r="U310" s="67">
        <v>0</v>
      </c>
      <c r="V310" s="36">
        <v>0</v>
      </c>
      <c r="W310" s="67">
        <v>0</v>
      </c>
      <c r="X310" s="67">
        <v>0</v>
      </c>
      <c r="Y310" s="36">
        <v>0</v>
      </c>
      <c r="Z310" s="36">
        <v>44799.76</v>
      </c>
      <c r="AA310" s="36">
        <v>11322.3</v>
      </c>
      <c r="AB310" s="36">
        <v>501830.07</v>
      </c>
      <c r="AC310" s="36">
        <v>1700979.68</v>
      </c>
      <c r="AD310" s="36">
        <v>182.93</v>
      </c>
      <c r="AE310" s="36">
        <v>1618416.9</v>
      </c>
      <c r="AF310" s="68">
        <f t="shared" si="75"/>
        <v>8847.1923686656082</v>
      </c>
      <c r="AG310" s="68">
        <f t="shared" si="76"/>
        <v>9298.5277428524569</v>
      </c>
      <c r="AH310" s="69">
        <f t="shared" si="77"/>
        <v>451.34</v>
      </c>
      <c r="AI310" s="36">
        <v>54.73</v>
      </c>
      <c r="AJ310" s="36">
        <v>472282.32</v>
      </c>
      <c r="AK310" s="68">
        <f t="shared" si="78"/>
        <v>8629.3133564772525</v>
      </c>
      <c r="AL310" s="68">
        <f t="shared" si="79"/>
        <v>9169.1955052073827</v>
      </c>
      <c r="AM310" s="69">
        <f t="shared" si="80"/>
        <v>539.88</v>
      </c>
      <c r="AN310" s="67">
        <v>0</v>
      </c>
      <c r="AO310" s="67">
        <v>585212.05000000005</v>
      </c>
    </row>
    <row r="311" spans="1:41" s="3" customFormat="1" ht="15">
      <c r="A311" s="58" t="s">
        <v>673</v>
      </c>
      <c r="B311" s="58" t="s">
        <v>270</v>
      </c>
      <c r="C311" s="58" t="str">
        <f t="shared" si="83"/>
        <v>36401 WAITSBURG SCHOOL DISTRICT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57453.04</v>
      </c>
      <c r="J311" s="36">
        <v>104412.86</v>
      </c>
      <c r="K311" s="36">
        <v>0</v>
      </c>
      <c r="L311" s="36">
        <v>0</v>
      </c>
      <c r="M311" s="36">
        <v>129825.85</v>
      </c>
      <c r="N311" s="50">
        <v>7.22E-2</v>
      </c>
      <c r="O311" s="53">
        <v>0.31909999999999999</v>
      </c>
      <c r="P311" s="36">
        <v>0</v>
      </c>
      <c r="Q311" s="66">
        <v>0</v>
      </c>
      <c r="R311" s="66">
        <v>0</v>
      </c>
      <c r="S311" s="67">
        <v>0</v>
      </c>
      <c r="T311" s="67">
        <v>0</v>
      </c>
      <c r="U311" s="67">
        <v>0</v>
      </c>
      <c r="V311" s="36">
        <v>0</v>
      </c>
      <c r="W311" s="67">
        <v>0</v>
      </c>
      <c r="X311" s="67">
        <v>0</v>
      </c>
      <c r="Y311" s="36">
        <v>0</v>
      </c>
      <c r="Z311" s="36">
        <v>0</v>
      </c>
      <c r="AA311" s="36">
        <v>0</v>
      </c>
      <c r="AB311" s="36">
        <v>24240.71</v>
      </c>
      <c r="AC311" s="36">
        <v>220826.38</v>
      </c>
      <c r="AD311" s="36">
        <v>23.44</v>
      </c>
      <c r="AE311" s="36">
        <v>207431.06</v>
      </c>
      <c r="AF311" s="68">
        <f t="shared" si="75"/>
        <v>8849.4479522184301</v>
      </c>
      <c r="AG311" s="68">
        <f t="shared" si="76"/>
        <v>9420.9206484641636</v>
      </c>
      <c r="AH311" s="69">
        <f t="shared" si="77"/>
        <v>571.47</v>
      </c>
      <c r="AI311" s="36">
        <v>2.64</v>
      </c>
      <c r="AJ311" s="36">
        <v>22695.5</v>
      </c>
      <c r="AK311" s="68">
        <f t="shared" si="78"/>
        <v>8596.7803030303021</v>
      </c>
      <c r="AL311" s="68">
        <f t="shared" si="79"/>
        <v>9182.0871212121201</v>
      </c>
      <c r="AM311" s="69">
        <f t="shared" si="80"/>
        <v>585.30999999999995</v>
      </c>
      <c r="AN311" s="67">
        <v>0</v>
      </c>
      <c r="AO311" s="67">
        <v>0</v>
      </c>
    </row>
    <row r="312" spans="1:41" s="3" customFormat="1" ht="15">
      <c r="A312" s="58" t="s">
        <v>669</v>
      </c>
      <c r="B312" s="58" t="s">
        <v>266</v>
      </c>
      <c r="C312" s="58" t="str">
        <f t="shared" si="83"/>
        <v>36140 WALLA WALLA SCHOOL DISTRICT</v>
      </c>
      <c r="D312" s="36">
        <v>0</v>
      </c>
      <c r="E312" s="36">
        <v>204502.33</v>
      </c>
      <c r="F312" s="36">
        <v>0</v>
      </c>
      <c r="G312" s="36">
        <v>9094851.5600000005</v>
      </c>
      <c r="H312" s="36">
        <v>1716279.15</v>
      </c>
      <c r="I312" s="36">
        <v>1476949.36</v>
      </c>
      <c r="J312" s="36">
        <v>2455240.71</v>
      </c>
      <c r="K312" s="36">
        <v>1337602.28</v>
      </c>
      <c r="L312" s="36">
        <v>161815.48000000001</v>
      </c>
      <c r="M312" s="36">
        <v>2091130.06</v>
      </c>
      <c r="N312" s="50">
        <v>4.3299999999999998E-2</v>
      </c>
      <c r="O312" s="53">
        <v>0.17810000000000001</v>
      </c>
      <c r="P312" s="36">
        <v>0</v>
      </c>
      <c r="Q312" s="66">
        <v>0</v>
      </c>
      <c r="R312" s="66">
        <v>0</v>
      </c>
      <c r="S312" s="67">
        <v>172134.63999999998</v>
      </c>
      <c r="T312" s="67">
        <v>0</v>
      </c>
      <c r="U312" s="67">
        <v>5938.93</v>
      </c>
      <c r="V312" s="36">
        <v>0</v>
      </c>
      <c r="W312" s="67">
        <v>0</v>
      </c>
      <c r="X312" s="67">
        <v>0</v>
      </c>
      <c r="Y312" s="36">
        <v>0</v>
      </c>
      <c r="Z312" s="36">
        <v>1214.52</v>
      </c>
      <c r="AA312" s="36">
        <v>208026.94</v>
      </c>
      <c r="AB312" s="36">
        <v>467031.93</v>
      </c>
      <c r="AC312" s="36">
        <v>2636112.44</v>
      </c>
      <c r="AD312" s="36">
        <v>272.36</v>
      </c>
      <c r="AE312" s="36">
        <v>2433526.0699999998</v>
      </c>
      <c r="AF312" s="68">
        <f t="shared" si="75"/>
        <v>8934.9613379350849</v>
      </c>
      <c r="AG312" s="68">
        <f t="shared" si="76"/>
        <v>9678.7797033338229</v>
      </c>
      <c r="AH312" s="69">
        <f t="shared" si="77"/>
        <v>743.82</v>
      </c>
      <c r="AI312" s="36">
        <v>50.41</v>
      </c>
      <c r="AJ312" s="36">
        <v>439430.74</v>
      </c>
      <c r="AK312" s="68">
        <f t="shared" si="78"/>
        <v>8717.1342987502485</v>
      </c>
      <c r="AL312" s="68">
        <f t="shared" si="79"/>
        <v>9264.668319777822</v>
      </c>
      <c r="AM312" s="69">
        <f t="shared" si="80"/>
        <v>547.53</v>
      </c>
      <c r="AN312" s="67">
        <v>0</v>
      </c>
      <c r="AO312" s="67">
        <v>0</v>
      </c>
    </row>
    <row r="313" spans="1:41" s="3" customFormat="1" ht="15">
      <c r="A313" s="58" t="s">
        <v>706</v>
      </c>
      <c r="B313" s="58" t="s">
        <v>304</v>
      </c>
      <c r="C313" s="58" t="str">
        <f t="shared" si="83"/>
        <v>39207 WAPATO SCHOOL DISTRICT</v>
      </c>
      <c r="D313" s="36">
        <v>0</v>
      </c>
      <c r="E313" s="36">
        <v>186642.95</v>
      </c>
      <c r="F313" s="36">
        <v>64706.13</v>
      </c>
      <c r="G313" s="36">
        <v>4203530.09</v>
      </c>
      <c r="H313" s="36">
        <v>820414.22</v>
      </c>
      <c r="I313" s="36">
        <v>955923.08</v>
      </c>
      <c r="J313" s="36">
        <v>1832575.52</v>
      </c>
      <c r="K313" s="36">
        <v>1754979.88</v>
      </c>
      <c r="L313" s="36">
        <v>91322.3</v>
      </c>
      <c r="M313" s="36">
        <v>1727049.85</v>
      </c>
      <c r="N313" s="50">
        <v>4.4900000000000002E-2</v>
      </c>
      <c r="O313" s="53">
        <v>0.1658</v>
      </c>
      <c r="P313" s="36">
        <v>0</v>
      </c>
      <c r="Q313" s="66">
        <v>0</v>
      </c>
      <c r="R313" s="66">
        <v>0</v>
      </c>
      <c r="S313" s="67">
        <v>0</v>
      </c>
      <c r="T313" s="67">
        <v>0</v>
      </c>
      <c r="U313" s="67">
        <v>0</v>
      </c>
      <c r="V313" s="36">
        <v>0</v>
      </c>
      <c r="W313" s="67">
        <v>0</v>
      </c>
      <c r="X313" s="67">
        <v>0</v>
      </c>
      <c r="Y313" s="36">
        <v>0</v>
      </c>
      <c r="Z313" s="36">
        <v>64045.49</v>
      </c>
      <c r="AA313" s="36">
        <v>0</v>
      </c>
      <c r="AB313" s="36">
        <v>602406.55000000005</v>
      </c>
      <c r="AC313" s="36">
        <v>2242616.5099999998</v>
      </c>
      <c r="AD313" s="36">
        <v>242.65</v>
      </c>
      <c r="AE313" s="36">
        <v>2146978.86</v>
      </c>
      <c r="AF313" s="68">
        <f t="shared" si="75"/>
        <v>8848.0480527508753</v>
      </c>
      <c r="AG313" s="68">
        <f t="shared" si="76"/>
        <v>9242.1863177416017</v>
      </c>
      <c r="AH313" s="69">
        <f t="shared" si="77"/>
        <v>394.14</v>
      </c>
      <c r="AI313" s="36">
        <v>65.709999999999994</v>
      </c>
      <c r="AJ313" s="36">
        <v>567106.43000000005</v>
      </c>
      <c r="AK313" s="68">
        <f t="shared" si="78"/>
        <v>8630.4433115203174</v>
      </c>
      <c r="AL313" s="68">
        <f t="shared" si="79"/>
        <v>9167.6540861360536</v>
      </c>
      <c r="AM313" s="69">
        <f t="shared" si="80"/>
        <v>537.21</v>
      </c>
      <c r="AN313" s="67">
        <v>0</v>
      </c>
      <c r="AO313" s="67">
        <v>0</v>
      </c>
    </row>
    <row r="314" spans="1:41" s="3" customFormat="1" ht="15">
      <c r="A314" s="58" t="s">
        <v>479</v>
      </c>
      <c r="B314" s="58" t="s">
        <v>72</v>
      </c>
      <c r="C314" s="58" t="str">
        <f t="shared" si="83"/>
        <v>13146 WARDEN SCHOOL DISTRICT</v>
      </c>
      <c r="D314" s="36">
        <v>2754.33</v>
      </c>
      <c r="E314" s="36">
        <v>27578.14</v>
      </c>
      <c r="F314" s="36">
        <v>19347.77</v>
      </c>
      <c r="G314" s="36">
        <v>1410437.8</v>
      </c>
      <c r="H314" s="36">
        <v>325950.74</v>
      </c>
      <c r="I314" s="36">
        <v>262330.81</v>
      </c>
      <c r="J314" s="36">
        <v>514064.49</v>
      </c>
      <c r="K314" s="36">
        <v>432799.09</v>
      </c>
      <c r="L314" s="36">
        <v>27220.07</v>
      </c>
      <c r="M314" s="36">
        <v>414787.25</v>
      </c>
      <c r="N314" s="50">
        <v>4.1300000000000003E-2</v>
      </c>
      <c r="O314" s="53">
        <v>0.16</v>
      </c>
      <c r="P314" s="36">
        <v>0</v>
      </c>
      <c r="Q314" s="66">
        <v>0</v>
      </c>
      <c r="R314" s="66">
        <v>0</v>
      </c>
      <c r="S314" s="67">
        <v>0</v>
      </c>
      <c r="T314" s="67">
        <v>0</v>
      </c>
      <c r="U314" s="67">
        <v>0</v>
      </c>
      <c r="V314" s="36">
        <v>0</v>
      </c>
      <c r="W314" s="67">
        <v>0</v>
      </c>
      <c r="X314" s="67">
        <v>0</v>
      </c>
      <c r="Y314" s="36">
        <v>0</v>
      </c>
      <c r="Z314" s="36">
        <v>9134.25</v>
      </c>
      <c r="AA314" s="36">
        <v>55705.54</v>
      </c>
      <c r="AB314" s="36">
        <v>68752.19</v>
      </c>
      <c r="AC314" s="36">
        <v>606129.42000000004</v>
      </c>
      <c r="AD314" s="36">
        <v>64.290000000000006</v>
      </c>
      <c r="AE314" s="36">
        <v>568834.97</v>
      </c>
      <c r="AF314" s="68">
        <f t="shared" si="75"/>
        <v>8847.9541141701648</v>
      </c>
      <c r="AG314" s="68">
        <f t="shared" si="76"/>
        <v>9428.0513299113391</v>
      </c>
      <c r="AH314" s="69">
        <f t="shared" si="77"/>
        <v>580.1</v>
      </c>
      <c r="AI314" s="36">
        <v>7.5</v>
      </c>
      <c r="AJ314" s="36">
        <v>64668.02</v>
      </c>
      <c r="AK314" s="68">
        <f t="shared" si="78"/>
        <v>8622.4026666666668</v>
      </c>
      <c r="AL314" s="68">
        <f t="shared" si="79"/>
        <v>9166.9586666666673</v>
      </c>
      <c r="AM314" s="69">
        <f t="shared" si="80"/>
        <v>544.55999999999995</v>
      </c>
      <c r="AN314" s="67">
        <v>0</v>
      </c>
      <c r="AO314" s="67">
        <v>0</v>
      </c>
    </row>
    <row r="315" spans="1:41" s="3" customFormat="1" ht="15">
      <c r="A315" s="58" t="s">
        <v>448</v>
      </c>
      <c r="B315" s="58" t="s">
        <v>41</v>
      </c>
      <c r="C315" s="58" t="str">
        <f t="shared" si="83"/>
        <v>06112 WASHOUGAL SCHOOL DISTRICT</v>
      </c>
      <c r="D315" s="36">
        <v>0</v>
      </c>
      <c r="E315" s="36">
        <v>0</v>
      </c>
      <c r="F315" s="36">
        <v>0</v>
      </c>
      <c r="G315" s="36">
        <v>4996683.6100000003</v>
      </c>
      <c r="H315" s="36">
        <v>991925.85</v>
      </c>
      <c r="I315" s="36">
        <v>0</v>
      </c>
      <c r="J315" s="36">
        <v>734624.71</v>
      </c>
      <c r="K315" s="36">
        <v>201601.19</v>
      </c>
      <c r="L315" s="36">
        <v>84940.99</v>
      </c>
      <c r="M315" s="36">
        <v>2481935.2799999998</v>
      </c>
      <c r="N315" s="50">
        <v>3.2599999999999997E-2</v>
      </c>
      <c r="O315" s="53">
        <v>0.13569999999999999</v>
      </c>
      <c r="P315" s="36">
        <v>0</v>
      </c>
      <c r="Q315" s="66">
        <v>0</v>
      </c>
      <c r="R315" s="66">
        <v>0</v>
      </c>
      <c r="S315" s="67">
        <v>0</v>
      </c>
      <c r="T315" s="67">
        <v>0</v>
      </c>
      <c r="U315" s="67">
        <v>0</v>
      </c>
      <c r="V315" s="36">
        <v>0</v>
      </c>
      <c r="W315" s="67">
        <v>0</v>
      </c>
      <c r="X315" s="67">
        <v>0</v>
      </c>
      <c r="Y315" s="36">
        <v>0</v>
      </c>
      <c r="Z315" s="36">
        <v>37220.19</v>
      </c>
      <c r="AA315" s="36">
        <v>117253.18</v>
      </c>
      <c r="AB315" s="36">
        <v>383892.4</v>
      </c>
      <c r="AC315" s="36">
        <v>1853851.18</v>
      </c>
      <c r="AD315" s="36">
        <v>193.23</v>
      </c>
      <c r="AE315" s="36">
        <v>1780006.45</v>
      </c>
      <c r="AF315" s="68">
        <f t="shared" si="75"/>
        <v>9211.8534906588011</v>
      </c>
      <c r="AG315" s="68">
        <f t="shared" si="76"/>
        <v>9594.0132484603837</v>
      </c>
      <c r="AH315" s="69">
        <f t="shared" si="77"/>
        <v>382.16</v>
      </c>
      <c r="AI315" s="36">
        <v>40.200000000000003</v>
      </c>
      <c r="AJ315" s="36">
        <v>361566.94</v>
      </c>
      <c r="AK315" s="68">
        <f t="shared" si="78"/>
        <v>8994.2024875621883</v>
      </c>
      <c r="AL315" s="68">
        <f t="shared" si="79"/>
        <v>9549.5621890547263</v>
      </c>
      <c r="AM315" s="69">
        <f t="shared" si="80"/>
        <v>555.36</v>
      </c>
      <c r="AN315" s="67">
        <v>0</v>
      </c>
      <c r="AO315" s="67">
        <v>0</v>
      </c>
    </row>
    <row r="316" spans="1:41" s="3" customFormat="1" ht="15">
      <c r="A316" s="58" t="s">
        <v>419</v>
      </c>
      <c r="B316" s="58" t="s">
        <v>12</v>
      </c>
      <c r="C316" s="58" t="str">
        <f t="shared" si="83"/>
        <v>01109 WASHTUCNA SCHOOL DISTRICT</v>
      </c>
      <c r="D316" s="36">
        <v>0</v>
      </c>
      <c r="E316" s="36">
        <v>1171.1500000000001</v>
      </c>
      <c r="F316" s="36">
        <v>2441.4</v>
      </c>
      <c r="G316" s="36">
        <v>114962.27</v>
      </c>
      <c r="H316" s="36">
        <v>10803.1</v>
      </c>
      <c r="I316" s="36">
        <v>19428.080000000002</v>
      </c>
      <c r="J316" s="36">
        <v>31583.59</v>
      </c>
      <c r="K316" s="36">
        <v>0</v>
      </c>
      <c r="L316" s="36">
        <v>1973.97</v>
      </c>
      <c r="M316" s="36">
        <v>152010.79</v>
      </c>
      <c r="N316" s="50">
        <v>5.3199999999999997E-2</v>
      </c>
      <c r="O316" s="53">
        <v>0.31080000000000002</v>
      </c>
      <c r="P316" s="36">
        <v>0</v>
      </c>
      <c r="Q316" s="66">
        <v>0</v>
      </c>
      <c r="R316" s="66">
        <v>0</v>
      </c>
      <c r="S316" s="67">
        <v>0</v>
      </c>
      <c r="T316" s="67">
        <v>0</v>
      </c>
      <c r="U316" s="67">
        <v>0</v>
      </c>
      <c r="V316" s="36">
        <v>0</v>
      </c>
      <c r="W316" s="67">
        <v>0</v>
      </c>
      <c r="X316" s="67">
        <v>0</v>
      </c>
      <c r="Y316" s="36">
        <v>0</v>
      </c>
      <c r="Z316" s="36">
        <v>0</v>
      </c>
      <c r="AA316" s="36">
        <v>0</v>
      </c>
      <c r="AB316" s="36">
        <v>2587.85</v>
      </c>
      <c r="AC316" s="36">
        <v>32323.66</v>
      </c>
      <c r="AD316" s="36">
        <v>3.53</v>
      </c>
      <c r="AE316" s="36">
        <v>31085.27</v>
      </c>
      <c r="AF316" s="68">
        <f t="shared" si="75"/>
        <v>8806.0254957507095</v>
      </c>
      <c r="AG316" s="68">
        <f t="shared" si="76"/>
        <v>9156.8441926345622</v>
      </c>
      <c r="AH316" s="69">
        <f t="shared" si="77"/>
        <v>350.82</v>
      </c>
      <c r="AI316" s="36">
        <v>0.28000000000000003</v>
      </c>
      <c r="AJ316" s="36">
        <v>2452.79</v>
      </c>
      <c r="AK316" s="68">
        <f t="shared" si="78"/>
        <v>8759.9642857142844</v>
      </c>
      <c r="AL316" s="68">
        <f t="shared" si="79"/>
        <v>9242.3214285714275</v>
      </c>
      <c r="AM316" s="69">
        <f t="shared" si="80"/>
        <v>482.36</v>
      </c>
      <c r="AN316" s="67">
        <v>0</v>
      </c>
      <c r="AO316" s="67">
        <v>0</v>
      </c>
    </row>
    <row r="317" spans="1:41" s="3" customFormat="1" ht="15">
      <c r="A317" s="58" t="s">
        <v>466</v>
      </c>
      <c r="B317" s="58" t="s">
        <v>59</v>
      </c>
      <c r="C317" s="58" t="str">
        <f t="shared" si="83"/>
        <v>09209 WATERVILLE SCHOOL DISTRICT</v>
      </c>
      <c r="D317" s="36">
        <v>0</v>
      </c>
      <c r="E317" s="36">
        <v>2257.34</v>
      </c>
      <c r="F317" s="36">
        <v>0</v>
      </c>
      <c r="G317" s="36">
        <v>0</v>
      </c>
      <c r="H317" s="36">
        <v>0</v>
      </c>
      <c r="I317" s="36">
        <v>34492.61</v>
      </c>
      <c r="J317" s="36">
        <v>80932.95</v>
      </c>
      <c r="K317" s="36">
        <v>32153.71</v>
      </c>
      <c r="L317" s="36">
        <v>7168.65</v>
      </c>
      <c r="M317" s="36">
        <v>279141.03000000003</v>
      </c>
      <c r="N317" s="50">
        <v>5.4899999999999997E-2</v>
      </c>
      <c r="O317" s="53">
        <v>0.25659999999999999</v>
      </c>
      <c r="P317" s="36">
        <v>0</v>
      </c>
      <c r="Q317" s="66">
        <v>0</v>
      </c>
      <c r="R317" s="66">
        <v>0</v>
      </c>
      <c r="S317" s="67">
        <v>0</v>
      </c>
      <c r="T317" s="67">
        <v>0</v>
      </c>
      <c r="U317" s="67">
        <v>0</v>
      </c>
      <c r="V317" s="36">
        <v>0</v>
      </c>
      <c r="W317" s="67">
        <v>0</v>
      </c>
      <c r="X317" s="67">
        <v>0</v>
      </c>
      <c r="Y317" s="36">
        <v>0</v>
      </c>
      <c r="Z317" s="36">
        <v>0</v>
      </c>
      <c r="AA317" s="36">
        <v>0</v>
      </c>
      <c r="AB317" s="36">
        <v>9067.2900000000009</v>
      </c>
      <c r="AC317" s="36">
        <v>119814.55</v>
      </c>
      <c r="AD317" s="36">
        <v>12.74</v>
      </c>
      <c r="AE317" s="36">
        <v>112752.9</v>
      </c>
      <c r="AF317" s="68">
        <f t="shared" si="75"/>
        <v>8850.3061224489793</v>
      </c>
      <c r="AG317" s="68">
        <f t="shared" si="76"/>
        <v>9404.5957613814753</v>
      </c>
      <c r="AH317" s="69">
        <f t="shared" si="77"/>
        <v>554.29</v>
      </c>
      <c r="AI317" s="36">
        <v>0.98</v>
      </c>
      <c r="AJ317" s="36">
        <v>8491.51</v>
      </c>
      <c r="AK317" s="68">
        <f t="shared" si="78"/>
        <v>8664.8061224489793</v>
      </c>
      <c r="AL317" s="68">
        <f t="shared" si="79"/>
        <v>9252.3367346938794</v>
      </c>
      <c r="AM317" s="69">
        <f t="shared" si="80"/>
        <v>587.53</v>
      </c>
      <c r="AN317" s="67">
        <v>0</v>
      </c>
      <c r="AO317" s="67">
        <v>0</v>
      </c>
    </row>
    <row r="318" spans="1:41" s="3" customFormat="1" ht="15">
      <c r="A318" s="58" t="s">
        <v>651</v>
      </c>
      <c r="B318" s="58" t="s">
        <v>246</v>
      </c>
      <c r="C318" s="58" t="str">
        <f t="shared" si="83"/>
        <v>33049 WELLPINIT SCHOOL DISTRICT</v>
      </c>
      <c r="D318" s="36">
        <v>0</v>
      </c>
      <c r="E318" s="36">
        <v>0</v>
      </c>
      <c r="F318" s="36">
        <v>0</v>
      </c>
      <c r="G318" s="36">
        <v>694466.11</v>
      </c>
      <c r="H318" s="36">
        <v>58957.23</v>
      </c>
      <c r="I318" s="36">
        <v>118750.15</v>
      </c>
      <c r="J318" s="36">
        <v>222124.07</v>
      </c>
      <c r="K318" s="36">
        <v>0</v>
      </c>
      <c r="L318" s="36">
        <v>12363.32</v>
      </c>
      <c r="M318" s="36">
        <v>381992.44</v>
      </c>
      <c r="N318" s="50">
        <v>5.1299999999999998E-2</v>
      </c>
      <c r="O318" s="53">
        <v>0.41049999999999998</v>
      </c>
      <c r="P318" s="36">
        <v>0</v>
      </c>
      <c r="Q318" s="66">
        <v>0</v>
      </c>
      <c r="R318" s="66">
        <v>0</v>
      </c>
      <c r="S318" s="67">
        <v>0</v>
      </c>
      <c r="T318" s="67">
        <v>0</v>
      </c>
      <c r="U318" s="67">
        <v>0</v>
      </c>
      <c r="V318" s="36">
        <v>0</v>
      </c>
      <c r="W318" s="67">
        <v>0</v>
      </c>
      <c r="X318" s="67">
        <v>0</v>
      </c>
      <c r="Y318" s="36">
        <v>0</v>
      </c>
      <c r="Z318" s="36">
        <v>0</v>
      </c>
      <c r="AA318" s="36">
        <v>0</v>
      </c>
      <c r="AB318" s="36">
        <v>0</v>
      </c>
      <c r="AC318" s="36">
        <v>124859.39</v>
      </c>
      <c r="AD318" s="36">
        <v>13.14</v>
      </c>
      <c r="AE318" s="36">
        <v>116262.39</v>
      </c>
      <c r="AF318" s="68">
        <f t="shared" si="75"/>
        <v>8847.9748858447492</v>
      </c>
      <c r="AG318" s="68">
        <f t="shared" si="76"/>
        <v>9502.236681887367</v>
      </c>
      <c r="AH318" s="69">
        <f t="shared" si="77"/>
        <v>654.26</v>
      </c>
      <c r="AI318" s="36">
        <v>0</v>
      </c>
      <c r="AJ318" s="36">
        <v>0</v>
      </c>
      <c r="AK318" s="68">
        <f t="shared" si="78"/>
        <v>0</v>
      </c>
      <c r="AL318" s="68">
        <f t="shared" si="79"/>
        <v>0</v>
      </c>
      <c r="AM318" s="69">
        <f t="shared" si="80"/>
        <v>0</v>
      </c>
      <c r="AN318" s="67">
        <v>0</v>
      </c>
      <c r="AO318" s="67">
        <v>0</v>
      </c>
    </row>
    <row r="319" spans="1:41" s="3" customFormat="1" ht="15">
      <c r="A319" s="58" t="s">
        <v>438</v>
      </c>
      <c r="B319" s="58" t="s">
        <v>31</v>
      </c>
      <c r="C319" s="58" t="str">
        <f t="shared" si="83"/>
        <v>04246 WENATCHEE SCHOOL DISTRICT</v>
      </c>
      <c r="D319" s="36">
        <v>0</v>
      </c>
      <c r="E319" s="36">
        <v>286714.65999999997</v>
      </c>
      <c r="F319" s="36">
        <v>130846.45</v>
      </c>
      <c r="G319" s="36">
        <v>11904014.810000001</v>
      </c>
      <c r="H319" s="36">
        <v>1568676.29</v>
      </c>
      <c r="I319" s="36">
        <v>1868921.26</v>
      </c>
      <c r="J319" s="36">
        <v>2832588.71</v>
      </c>
      <c r="K319" s="36">
        <v>2560484.4900000002</v>
      </c>
      <c r="L319" s="36">
        <v>213025.67</v>
      </c>
      <c r="M319" s="36">
        <v>2545198.69</v>
      </c>
      <c r="N319" s="50">
        <v>3.4200000000000001E-2</v>
      </c>
      <c r="O319" s="53">
        <v>0.122</v>
      </c>
      <c r="P319" s="36">
        <v>0</v>
      </c>
      <c r="Q319" s="66">
        <v>0</v>
      </c>
      <c r="R319" s="66">
        <v>0</v>
      </c>
      <c r="S319" s="67">
        <v>201632.07</v>
      </c>
      <c r="T319" s="67">
        <v>0</v>
      </c>
      <c r="U319" s="67">
        <v>6549.82</v>
      </c>
      <c r="V319" s="36">
        <v>0</v>
      </c>
      <c r="W319" s="67">
        <v>0</v>
      </c>
      <c r="X319" s="67">
        <v>0</v>
      </c>
      <c r="Y319" s="36">
        <v>0</v>
      </c>
      <c r="Z319" s="36">
        <v>107486.76</v>
      </c>
      <c r="AA319" s="36">
        <v>175303.48</v>
      </c>
      <c r="AB319" s="36">
        <v>2650078.77</v>
      </c>
      <c r="AC319" s="36">
        <v>5965829.1500000004</v>
      </c>
      <c r="AD319" s="36">
        <v>627.37</v>
      </c>
      <c r="AE319" s="36">
        <v>5608044.4199999999</v>
      </c>
      <c r="AF319" s="68">
        <f t="shared" si="75"/>
        <v>8938.974480768924</v>
      </c>
      <c r="AG319" s="68">
        <f t="shared" si="76"/>
        <v>9509.2674976489161</v>
      </c>
      <c r="AH319" s="69">
        <f t="shared" si="77"/>
        <v>570.29</v>
      </c>
      <c r="AI319" s="36">
        <v>286.05</v>
      </c>
      <c r="AJ319" s="36">
        <v>2494775.9900000002</v>
      </c>
      <c r="AK319" s="68">
        <f t="shared" si="78"/>
        <v>8721.468239818214</v>
      </c>
      <c r="AL319" s="68">
        <f t="shared" si="79"/>
        <v>9264.3900367068691</v>
      </c>
      <c r="AM319" s="69">
        <f t="shared" si="80"/>
        <v>542.91999999999996</v>
      </c>
      <c r="AN319" s="67">
        <v>5000</v>
      </c>
      <c r="AO319" s="67">
        <v>0</v>
      </c>
    </row>
    <row r="320" spans="1:41" s="3" customFormat="1" ht="15">
      <c r="A320" s="58" t="s">
        <v>775</v>
      </c>
      <c r="B320" s="58" t="s">
        <v>241</v>
      </c>
      <c r="C320" s="58" t="str">
        <f t="shared" si="83"/>
        <v>32363 WEST VALLEY (SPOKANE) SCHOOL DISTRICT</v>
      </c>
      <c r="D320" s="36">
        <v>0</v>
      </c>
      <c r="E320" s="36">
        <v>0</v>
      </c>
      <c r="F320" s="36">
        <v>0</v>
      </c>
      <c r="G320" s="36">
        <v>5245482.04</v>
      </c>
      <c r="H320" s="36">
        <v>757438.55</v>
      </c>
      <c r="I320" s="36">
        <v>571309.76</v>
      </c>
      <c r="J320" s="36">
        <v>1296381.73</v>
      </c>
      <c r="K320" s="36">
        <v>199046.75</v>
      </c>
      <c r="L320" s="36">
        <v>100672.7</v>
      </c>
      <c r="M320" s="36">
        <v>2033390.62</v>
      </c>
      <c r="N320" s="50">
        <v>4.9000000000000002E-2</v>
      </c>
      <c r="O320" s="53">
        <v>0.1444</v>
      </c>
      <c r="P320" s="36">
        <v>0</v>
      </c>
      <c r="Q320" s="66">
        <v>0</v>
      </c>
      <c r="R320" s="66">
        <v>0</v>
      </c>
      <c r="S320" s="67">
        <v>0</v>
      </c>
      <c r="T320" s="67">
        <v>0</v>
      </c>
      <c r="U320" s="67">
        <v>0</v>
      </c>
      <c r="V320" s="36">
        <v>0</v>
      </c>
      <c r="W320" s="67">
        <v>0</v>
      </c>
      <c r="X320" s="67">
        <v>0</v>
      </c>
      <c r="Y320" s="36">
        <v>0</v>
      </c>
      <c r="Z320" s="36">
        <v>62420.43</v>
      </c>
      <c r="AA320" s="36">
        <v>0</v>
      </c>
      <c r="AB320" s="36">
        <v>743057.78</v>
      </c>
      <c r="AC320" s="36">
        <v>1813533.94</v>
      </c>
      <c r="AD320" s="36">
        <v>194.74</v>
      </c>
      <c r="AE320" s="36">
        <v>1722946.02</v>
      </c>
      <c r="AF320" s="68">
        <f t="shared" si="75"/>
        <v>8847.4171716134333</v>
      </c>
      <c r="AG320" s="68">
        <f t="shared" si="76"/>
        <v>9312.590839067474</v>
      </c>
      <c r="AH320" s="69">
        <f t="shared" si="77"/>
        <v>465.17</v>
      </c>
      <c r="AI320" s="36">
        <v>81.040000000000006</v>
      </c>
      <c r="AJ320" s="36">
        <v>699514.34</v>
      </c>
      <c r="AK320" s="68">
        <f t="shared" si="78"/>
        <v>8631.7169299111538</v>
      </c>
      <c r="AL320" s="68">
        <f t="shared" si="79"/>
        <v>9169.024925962487</v>
      </c>
      <c r="AM320" s="69">
        <f t="shared" si="80"/>
        <v>537.30999999999995</v>
      </c>
      <c r="AN320" s="67">
        <v>0</v>
      </c>
      <c r="AO320" s="67">
        <v>0</v>
      </c>
    </row>
    <row r="321" spans="1:41" s="3" customFormat="1" ht="15">
      <c r="A321" s="58" t="s">
        <v>776</v>
      </c>
      <c r="B321" s="58" t="s">
        <v>305</v>
      </c>
      <c r="C321" s="58" t="str">
        <f t="shared" si="83"/>
        <v>39208 WEST VALLEY (YAKIMA) SCHOOL DISTRICT</v>
      </c>
      <c r="D321" s="36">
        <v>0</v>
      </c>
      <c r="E321" s="36">
        <v>158438.63</v>
      </c>
      <c r="F321" s="36">
        <v>27854.07</v>
      </c>
      <c r="G321" s="36">
        <v>8696551.2300000004</v>
      </c>
      <c r="H321" s="36">
        <v>1402043.91</v>
      </c>
      <c r="I321" s="36">
        <v>537089.88</v>
      </c>
      <c r="J321" s="36">
        <v>1779564.15</v>
      </c>
      <c r="K321" s="36">
        <v>806582.08</v>
      </c>
      <c r="L321" s="36">
        <v>162821.5</v>
      </c>
      <c r="M321" s="36">
        <v>2968143.79</v>
      </c>
      <c r="N321" s="50">
        <v>7.0000000000000007E-2</v>
      </c>
      <c r="O321" s="53">
        <v>0.18590000000000001</v>
      </c>
      <c r="P321" s="36">
        <v>0</v>
      </c>
      <c r="Q321" s="66">
        <v>0</v>
      </c>
      <c r="R321" s="66">
        <v>0</v>
      </c>
      <c r="S321" s="67">
        <v>0</v>
      </c>
      <c r="T321" s="67">
        <v>0</v>
      </c>
      <c r="U321" s="67">
        <v>0</v>
      </c>
      <c r="V321" s="36">
        <v>0</v>
      </c>
      <c r="W321" s="67">
        <v>0</v>
      </c>
      <c r="X321" s="67">
        <v>0</v>
      </c>
      <c r="Y321" s="36">
        <v>0</v>
      </c>
      <c r="Z321" s="36">
        <v>241360.75</v>
      </c>
      <c r="AA321" s="36">
        <v>4648.78</v>
      </c>
      <c r="AB321" s="36">
        <v>2698702.89</v>
      </c>
      <c r="AC321" s="36">
        <v>3420398.02</v>
      </c>
      <c r="AD321" s="36">
        <v>359.49</v>
      </c>
      <c r="AE321" s="36">
        <v>3213377.62</v>
      </c>
      <c r="AF321" s="68">
        <f t="shared" si="75"/>
        <v>8938.7121199477042</v>
      </c>
      <c r="AG321" s="68">
        <f t="shared" si="76"/>
        <v>9514.5846059695687</v>
      </c>
      <c r="AH321" s="69">
        <f t="shared" si="77"/>
        <v>575.87</v>
      </c>
      <c r="AI321" s="36">
        <v>291.29000000000002</v>
      </c>
      <c r="AJ321" s="36">
        <v>2540415.25</v>
      </c>
      <c r="AK321" s="68">
        <f t="shared" si="78"/>
        <v>8721.2580246489742</v>
      </c>
      <c r="AL321" s="68">
        <f t="shared" si="79"/>
        <v>9264.6602698341849</v>
      </c>
      <c r="AM321" s="69">
        <f t="shared" si="80"/>
        <v>543.4</v>
      </c>
      <c r="AN321" s="67">
        <v>1400</v>
      </c>
      <c r="AO321" s="67">
        <v>0</v>
      </c>
    </row>
    <row r="322" spans="1:41" s="3" customFormat="1" ht="15">
      <c r="A322" s="58" t="s">
        <v>810</v>
      </c>
      <c r="B322" s="63" t="s">
        <v>809</v>
      </c>
      <c r="C322" s="59" t="str">
        <f>CONCATENATE(B322," ",A322," CHARTER")</f>
        <v>37902 WHATCOM INTERGENERATIONAL CHARTER</v>
      </c>
      <c r="D322" s="36">
        <v>0</v>
      </c>
      <c r="E322" s="36">
        <v>0</v>
      </c>
      <c r="F322" s="36">
        <v>0</v>
      </c>
      <c r="G322" s="36">
        <v>117127.38</v>
      </c>
      <c r="H322" s="36">
        <v>23840.6</v>
      </c>
      <c r="I322" s="36">
        <v>0</v>
      </c>
      <c r="J322" s="36">
        <v>31431.88</v>
      </c>
      <c r="K322" s="36">
        <v>0</v>
      </c>
      <c r="L322" s="36">
        <v>2324.19</v>
      </c>
      <c r="M322" s="36">
        <v>0</v>
      </c>
      <c r="N322" s="50">
        <v>3.7100000000000001E-2</v>
      </c>
      <c r="O322" s="53">
        <v>0.14399999999999999</v>
      </c>
      <c r="P322" s="36">
        <v>0</v>
      </c>
      <c r="Q322" s="66">
        <v>0</v>
      </c>
      <c r="R322" s="66">
        <v>0</v>
      </c>
      <c r="S322" s="67">
        <v>0</v>
      </c>
      <c r="T322" s="67">
        <v>0</v>
      </c>
      <c r="U322" s="67">
        <v>0</v>
      </c>
      <c r="V322" s="36">
        <v>0</v>
      </c>
      <c r="W322" s="67">
        <v>0</v>
      </c>
      <c r="X322" s="67">
        <v>0</v>
      </c>
      <c r="Y322" s="36">
        <v>0</v>
      </c>
      <c r="Z322" s="36">
        <v>0</v>
      </c>
      <c r="AA322" s="36">
        <v>0</v>
      </c>
      <c r="AB322" s="36">
        <v>0</v>
      </c>
      <c r="AC322" s="36">
        <v>18138.96</v>
      </c>
      <c r="AD322" s="36">
        <v>0</v>
      </c>
      <c r="AE322" s="36">
        <v>0</v>
      </c>
      <c r="AF322" s="68">
        <f t="shared" si="75"/>
        <v>0</v>
      </c>
      <c r="AG322" s="68">
        <f t="shared" si="76"/>
        <v>0</v>
      </c>
      <c r="AH322" s="69">
        <f t="shared" si="77"/>
        <v>0</v>
      </c>
      <c r="AI322" s="36">
        <v>0</v>
      </c>
      <c r="AJ322" s="36">
        <v>0</v>
      </c>
      <c r="AK322" s="68">
        <f t="shared" si="78"/>
        <v>0</v>
      </c>
      <c r="AL322" s="68">
        <f t="shared" si="79"/>
        <v>0</v>
      </c>
      <c r="AM322" s="69">
        <f t="shared" si="80"/>
        <v>0</v>
      </c>
      <c r="AN322" s="67">
        <v>0</v>
      </c>
      <c r="AO322" s="67">
        <v>0</v>
      </c>
    </row>
    <row r="323" spans="1:41" s="3" customFormat="1" ht="15">
      <c r="A323" s="58" t="s">
        <v>559</v>
      </c>
      <c r="B323" s="58" t="s">
        <v>152</v>
      </c>
      <c r="C323" s="58" t="str">
        <f>CONCATENATE(B323," ",A323," SCHOOL DISTRICT")</f>
        <v>21303 WHITE PASS SCHOOL DISTRICT</v>
      </c>
      <c r="D323" s="36">
        <v>0</v>
      </c>
      <c r="E323" s="36">
        <v>14263.27</v>
      </c>
      <c r="F323" s="36">
        <v>8706.19</v>
      </c>
      <c r="G323" s="36">
        <v>546911.9</v>
      </c>
      <c r="H323" s="36">
        <v>101240.55</v>
      </c>
      <c r="I323" s="36">
        <v>108049.12</v>
      </c>
      <c r="J323" s="36">
        <v>164047.67000000001</v>
      </c>
      <c r="K323" s="36">
        <v>0</v>
      </c>
      <c r="L323" s="36">
        <v>10077.66</v>
      </c>
      <c r="M323" s="36">
        <v>523187.18</v>
      </c>
      <c r="N323" s="50">
        <v>5.9400000000000001E-2</v>
      </c>
      <c r="O323" s="53">
        <v>0.21840000000000001</v>
      </c>
      <c r="P323" s="36">
        <v>0</v>
      </c>
      <c r="Q323" s="66">
        <v>0</v>
      </c>
      <c r="R323" s="66">
        <v>0</v>
      </c>
      <c r="S323" s="67">
        <v>0</v>
      </c>
      <c r="T323" s="67">
        <v>0</v>
      </c>
      <c r="U323" s="67">
        <v>0</v>
      </c>
      <c r="V323" s="36">
        <v>0</v>
      </c>
      <c r="W323" s="67">
        <v>0</v>
      </c>
      <c r="X323" s="67">
        <v>0</v>
      </c>
      <c r="Y323" s="36">
        <v>0</v>
      </c>
      <c r="Z323" s="36">
        <v>4804.5</v>
      </c>
      <c r="AA323" s="36">
        <v>0</v>
      </c>
      <c r="AB323" s="36">
        <v>79505.22</v>
      </c>
      <c r="AC323" s="36">
        <v>184551.79</v>
      </c>
      <c r="AD323" s="36">
        <v>19.989999999999998</v>
      </c>
      <c r="AE323" s="36">
        <v>176965.37</v>
      </c>
      <c r="AF323" s="68">
        <f t="shared" si="75"/>
        <v>8852.6948474237124</v>
      </c>
      <c r="AG323" s="68">
        <f t="shared" si="76"/>
        <v>9232.2056028014013</v>
      </c>
      <c r="AH323" s="69">
        <f t="shared" si="77"/>
        <v>379.51</v>
      </c>
      <c r="AI323" s="36">
        <v>8.66</v>
      </c>
      <c r="AJ323" s="36">
        <v>74685.429999999993</v>
      </c>
      <c r="AK323" s="68">
        <f t="shared" si="78"/>
        <v>8624.1836027713616</v>
      </c>
      <c r="AL323" s="68">
        <f t="shared" si="79"/>
        <v>9180.7413394919167</v>
      </c>
      <c r="AM323" s="69">
        <f t="shared" si="80"/>
        <v>556.55999999999995</v>
      </c>
      <c r="AN323" s="67">
        <v>0</v>
      </c>
      <c r="AO323" s="67">
        <v>0</v>
      </c>
    </row>
    <row r="324" spans="1:41" s="3" customFormat="1" ht="15">
      <c r="A324" s="58" t="s">
        <v>605</v>
      </c>
      <c r="B324" s="58" t="s">
        <v>199</v>
      </c>
      <c r="C324" s="58" t="str">
        <f>CONCATENATE(B324," ",A324," SCHOOL DISTRICT")</f>
        <v>27416 WHITE RIVER SCHOOL DISTRICT</v>
      </c>
      <c r="D324" s="36">
        <v>0</v>
      </c>
      <c r="E324" s="36">
        <v>84042.61</v>
      </c>
      <c r="F324" s="36">
        <v>0</v>
      </c>
      <c r="G324" s="36">
        <v>6941348.3899999997</v>
      </c>
      <c r="H324" s="36">
        <v>1257017.7</v>
      </c>
      <c r="I324" s="36">
        <v>0</v>
      </c>
      <c r="J324" s="36">
        <v>930852.6</v>
      </c>
      <c r="K324" s="36">
        <v>337684.69</v>
      </c>
      <c r="L324" s="36">
        <v>135446.44</v>
      </c>
      <c r="M324" s="36">
        <v>3445419.09</v>
      </c>
      <c r="N324" s="50">
        <v>3.78E-2</v>
      </c>
      <c r="O324" s="53">
        <v>0.1502</v>
      </c>
      <c r="P324" s="36">
        <v>0</v>
      </c>
      <c r="Q324" s="66">
        <v>0</v>
      </c>
      <c r="R324" s="66">
        <v>0</v>
      </c>
      <c r="S324" s="67">
        <v>0</v>
      </c>
      <c r="T324" s="67">
        <v>0</v>
      </c>
      <c r="U324" s="67">
        <v>0</v>
      </c>
      <c r="V324" s="36">
        <v>0</v>
      </c>
      <c r="W324" s="67">
        <v>22009.856</v>
      </c>
      <c r="X324" s="67">
        <v>0</v>
      </c>
      <c r="Y324" s="36">
        <v>0</v>
      </c>
      <c r="Z324" s="36">
        <v>32951.870000000003</v>
      </c>
      <c r="AA324" s="36">
        <v>224296.72</v>
      </c>
      <c r="AB324" s="36">
        <v>256444.68</v>
      </c>
      <c r="AC324" s="36">
        <v>2997851.33</v>
      </c>
      <c r="AD324" s="36">
        <v>304.44</v>
      </c>
      <c r="AE324" s="36">
        <v>2804573.1</v>
      </c>
      <c r="AF324" s="68">
        <f t="shared" si="75"/>
        <v>9212.2359085534099</v>
      </c>
      <c r="AG324" s="68">
        <f t="shared" si="76"/>
        <v>9847.100676652215</v>
      </c>
      <c r="AH324" s="69">
        <f t="shared" si="77"/>
        <v>634.86</v>
      </c>
      <c r="AI324" s="36">
        <v>26.86</v>
      </c>
      <c r="AJ324" s="36">
        <v>241450.82</v>
      </c>
      <c r="AK324" s="68">
        <f t="shared" si="78"/>
        <v>8989.2338049143709</v>
      </c>
      <c r="AL324" s="68">
        <f t="shared" si="79"/>
        <v>9547.4564408041697</v>
      </c>
      <c r="AM324" s="69">
        <f t="shared" si="80"/>
        <v>558.22</v>
      </c>
      <c r="AN324" s="67">
        <v>0</v>
      </c>
      <c r="AO324" s="67">
        <v>0</v>
      </c>
    </row>
    <row r="325" spans="1:41" s="3" customFormat="1" ht="15">
      <c r="A325" s="58" t="s">
        <v>546</v>
      </c>
      <c r="B325" s="58" t="s">
        <v>139</v>
      </c>
      <c r="C325" s="58" t="str">
        <f>CONCATENATE(B325," ",A325," SCHOOL DISTRICT")</f>
        <v>20405 WHITE SALMON SCHOOL DISTRICT</v>
      </c>
      <c r="D325" s="36">
        <v>0</v>
      </c>
      <c r="E325" s="36">
        <v>12163.34</v>
      </c>
      <c r="F325" s="36">
        <v>0</v>
      </c>
      <c r="G325" s="36">
        <v>0</v>
      </c>
      <c r="H325" s="36">
        <v>0</v>
      </c>
      <c r="I325" s="36">
        <v>0</v>
      </c>
      <c r="J325" s="36">
        <v>349456.32</v>
      </c>
      <c r="K325" s="36">
        <v>286416.59999999998</v>
      </c>
      <c r="L325" s="36">
        <v>33644.980000000003</v>
      </c>
      <c r="M325" s="36">
        <v>1408563.91</v>
      </c>
      <c r="N325" s="50">
        <v>4.6600000000000003E-2</v>
      </c>
      <c r="O325" s="53">
        <v>0.18959999999999999</v>
      </c>
      <c r="P325" s="36">
        <v>0</v>
      </c>
      <c r="Q325" s="66">
        <v>0</v>
      </c>
      <c r="R325" s="66">
        <v>0</v>
      </c>
      <c r="S325" s="67">
        <v>0</v>
      </c>
      <c r="T325" s="67">
        <v>0</v>
      </c>
      <c r="U325" s="67">
        <v>0</v>
      </c>
      <c r="V325" s="36">
        <v>0</v>
      </c>
      <c r="W325" s="67">
        <v>0</v>
      </c>
      <c r="X325" s="67">
        <v>0</v>
      </c>
      <c r="Y325" s="36">
        <v>0</v>
      </c>
      <c r="Z325" s="36">
        <v>0</v>
      </c>
      <c r="AA325" s="36">
        <v>5874.58</v>
      </c>
      <c r="AB325" s="36">
        <v>0</v>
      </c>
      <c r="AC325" s="36">
        <v>553640.55000000005</v>
      </c>
      <c r="AD325" s="36">
        <v>59.01</v>
      </c>
      <c r="AE325" s="36">
        <v>532459.24</v>
      </c>
      <c r="AF325" s="68">
        <f t="shared" si="75"/>
        <v>9023.2035248263001</v>
      </c>
      <c r="AG325" s="68">
        <f t="shared" si="76"/>
        <v>9382.1479410269458</v>
      </c>
      <c r="AH325" s="69">
        <f t="shared" si="77"/>
        <v>358.94</v>
      </c>
      <c r="AI325" s="36">
        <v>0</v>
      </c>
      <c r="AJ325" s="36">
        <v>0</v>
      </c>
      <c r="AK325" s="68">
        <f t="shared" si="78"/>
        <v>0</v>
      </c>
      <c r="AL325" s="68">
        <f t="shared" si="79"/>
        <v>0</v>
      </c>
      <c r="AM325" s="69">
        <f t="shared" si="80"/>
        <v>0</v>
      </c>
      <c r="AN325" s="67">
        <v>0</v>
      </c>
      <c r="AO325" s="67">
        <v>0</v>
      </c>
    </row>
    <row r="326" spans="1:41" s="3" customFormat="1" ht="15">
      <c r="A326" s="58" t="s">
        <v>812</v>
      </c>
      <c r="B326" s="59" t="s">
        <v>811</v>
      </c>
      <c r="C326" s="59" t="str">
        <f>CONCATENATE(B326," ",A326," CHARTER")</f>
        <v>17917 WHY NOT YOU CHARTER</v>
      </c>
      <c r="D326" s="36">
        <v>0</v>
      </c>
      <c r="E326" s="36">
        <v>0</v>
      </c>
      <c r="F326" s="36">
        <v>0</v>
      </c>
      <c r="G326" s="36">
        <v>270893.92</v>
      </c>
      <c r="H326" s="36">
        <v>48254.22</v>
      </c>
      <c r="I326" s="36">
        <v>0</v>
      </c>
      <c r="J326" s="36">
        <v>74625.97</v>
      </c>
      <c r="K326" s="36">
        <v>0</v>
      </c>
      <c r="L326" s="36">
        <v>0</v>
      </c>
      <c r="M326" s="36">
        <v>0</v>
      </c>
      <c r="N326" s="50">
        <v>3.7100000000000001E-2</v>
      </c>
      <c r="O326" s="53">
        <v>0.14399999999999999</v>
      </c>
      <c r="P326" s="36">
        <v>0</v>
      </c>
      <c r="Q326" s="66">
        <v>0</v>
      </c>
      <c r="R326" s="66">
        <v>0</v>
      </c>
      <c r="S326" s="67">
        <v>0</v>
      </c>
      <c r="T326" s="67">
        <v>0</v>
      </c>
      <c r="U326" s="67">
        <v>0</v>
      </c>
      <c r="V326" s="36">
        <v>0</v>
      </c>
      <c r="W326" s="67">
        <v>0</v>
      </c>
      <c r="X326" s="67">
        <v>0</v>
      </c>
      <c r="Y326" s="36">
        <v>0</v>
      </c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0</v>
      </c>
      <c r="AF326" s="68">
        <f t="shared" si="75"/>
        <v>0</v>
      </c>
      <c r="AG326" s="68">
        <f t="shared" si="76"/>
        <v>0</v>
      </c>
      <c r="AH326" s="69">
        <f t="shared" si="77"/>
        <v>0</v>
      </c>
      <c r="AI326" s="36">
        <v>0</v>
      </c>
      <c r="AJ326" s="36">
        <v>0</v>
      </c>
      <c r="AK326" s="68">
        <f t="shared" si="78"/>
        <v>0</v>
      </c>
      <c r="AL326" s="68">
        <f t="shared" si="79"/>
        <v>0</v>
      </c>
      <c r="AM326" s="69">
        <f t="shared" si="80"/>
        <v>0</v>
      </c>
      <c r="AN326" s="67">
        <v>0</v>
      </c>
      <c r="AO326" s="67">
        <v>0</v>
      </c>
    </row>
    <row r="327" spans="1:41" s="3" customFormat="1" ht="15">
      <c r="A327" s="58" t="s">
        <v>566</v>
      </c>
      <c r="B327" s="58" t="s">
        <v>159</v>
      </c>
      <c r="C327" s="58" t="str">
        <f t="shared" ref="C327:C337" si="84">CONCATENATE(B327," ",A327," SCHOOL DISTRICT")</f>
        <v>22200 WILBUR SCHOOL DISTRICT</v>
      </c>
      <c r="D327" s="36">
        <v>0</v>
      </c>
      <c r="E327" s="36">
        <v>0</v>
      </c>
      <c r="F327" s="36">
        <v>0</v>
      </c>
      <c r="G327" s="36">
        <v>349188.39</v>
      </c>
      <c r="H327" s="36">
        <v>51066.67</v>
      </c>
      <c r="I327" s="36">
        <v>0</v>
      </c>
      <c r="J327" s="36">
        <v>63582.75</v>
      </c>
      <c r="K327" s="36">
        <v>0</v>
      </c>
      <c r="L327" s="36">
        <v>0</v>
      </c>
      <c r="M327" s="36">
        <v>0</v>
      </c>
      <c r="N327" s="50">
        <v>3.32E-2</v>
      </c>
      <c r="O327" s="53">
        <v>0.25790000000000002</v>
      </c>
      <c r="P327" s="36">
        <v>0</v>
      </c>
      <c r="Q327" s="66">
        <v>0</v>
      </c>
      <c r="R327" s="66">
        <v>0</v>
      </c>
      <c r="S327" s="67">
        <v>0</v>
      </c>
      <c r="T327" s="67">
        <v>0</v>
      </c>
      <c r="U327" s="67">
        <v>0</v>
      </c>
      <c r="V327" s="36">
        <v>0</v>
      </c>
      <c r="W327" s="67">
        <v>0</v>
      </c>
      <c r="X327" s="67">
        <v>0</v>
      </c>
      <c r="Y327" s="36">
        <v>0</v>
      </c>
      <c r="Z327" s="36">
        <v>0</v>
      </c>
      <c r="AA327" s="36">
        <v>0</v>
      </c>
      <c r="AB327" s="36">
        <v>23533.24</v>
      </c>
      <c r="AC327" s="36">
        <v>135723.21</v>
      </c>
      <c r="AD327" s="36">
        <v>14.8</v>
      </c>
      <c r="AE327" s="36">
        <v>130924.63</v>
      </c>
      <c r="AF327" s="68">
        <f t="shared" ref="AF327:AF337" si="85">IFERROR(AE327/AD327,0)</f>
        <v>8846.2587837837837</v>
      </c>
      <c r="AG327" s="68">
        <f t="shared" ref="AG327:AG337" si="86">IFERROR(AC327/AD327,0)</f>
        <v>9170.4871621621605</v>
      </c>
      <c r="AH327" s="69">
        <f t="shared" ref="AH327:AH337" si="87">ROUND(AG327-AF327,2)</f>
        <v>324.23</v>
      </c>
      <c r="AI327" s="36">
        <v>2.56</v>
      </c>
      <c r="AJ327" s="36">
        <v>22072.92</v>
      </c>
      <c r="AK327" s="68">
        <f t="shared" ref="AK327:AK337" si="88">IFERROR(AJ327/AI327,0)</f>
        <v>8622.234375</v>
      </c>
      <c r="AL327" s="68">
        <f t="shared" ref="AL327:AL337" si="89">IFERROR(AB327/AI327,0)</f>
        <v>9192.671875</v>
      </c>
      <c r="AM327" s="69">
        <f t="shared" ref="AM327:AM337" si="90">ROUND(AL327-AK327,2)</f>
        <v>570.44000000000005</v>
      </c>
      <c r="AN327" s="67">
        <v>0</v>
      </c>
      <c r="AO327" s="67">
        <v>0</v>
      </c>
    </row>
    <row r="328" spans="1:41" s="3" customFormat="1" ht="15">
      <c r="A328" s="58" t="s">
        <v>587</v>
      </c>
      <c r="B328" s="58" t="s">
        <v>181</v>
      </c>
      <c r="C328" s="58" t="str">
        <f t="shared" si="84"/>
        <v>25160 WILLAPA VALLEY SCHOOL DISTRICT</v>
      </c>
      <c r="D328" s="36">
        <v>0</v>
      </c>
      <c r="E328" s="36">
        <v>0</v>
      </c>
      <c r="F328" s="36">
        <v>0</v>
      </c>
      <c r="G328" s="36">
        <v>584394.99</v>
      </c>
      <c r="H328" s="36">
        <v>95957.27</v>
      </c>
      <c r="I328" s="36">
        <v>0</v>
      </c>
      <c r="J328" s="36">
        <v>94750.78</v>
      </c>
      <c r="K328" s="36">
        <v>7859.79</v>
      </c>
      <c r="L328" s="36">
        <v>10077.66</v>
      </c>
      <c r="M328" s="36">
        <v>511640.24</v>
      </c>
      <c r="N328" s="50">
        <v>2.7099999999999999E-2</v>
      </c>
      <c r="O328" s="53">
        <v>0.1905</v>
      </c>
      <c r="P328" s="36">
        <v>0</v>
      </c>
      <c r="Q328" s="66">
        <v>0</v>
      </c>
      <c r="R328" s="66">
        <v>0</v>
      </c>
      <c r="S328" s="67">
        <v>0</v>
      </c>
      <c r="T328" s="67">
        <v>0</v>
      </c>
      <c r="U328" s="67">
        <v>0</v>
      </c>
      <c r="V328" s="36">
        <v>0</v>
      </c>
      <c r="W328" s="67">
        <v>0</v>
      </c>
      <c r="X328" s="67">
        <v>0</v>
      </c>
      <c r="Y328" s="36">
        <v>0</v>
      </c>
      <c r="Z328" s="36">
        <v>0</v>
      </c>
      <c r="AA328" s="36">
        <v>0</v>
      </c>
      <c r="AB328" s="36">
        <v>40528.83</v>
      </c>
      <c r="AC328" s="36">
        <v>223727.41</v>
      </c>
      <c r="AD328" s="36">
        <v>22.87</v>
      </c>
      <c r="AE328" s="36">
        <v>202396.35</v>
      </c>
      <c r="AF328" s="68">
        <f t="shared" si="85"/>
        <v>8849.8622649759509</v>
      </c>
      <c r="AG328" s="68">
        <f t="shared" si="86"/>
        <v>9782.5714910362913</v>
      </c>
      <c r="AH328" s="69">
        <f t="shared" si="87"/>
        <v>932.71</v>
      </c>
      <c r="AI328" s="36">
        <v>4.42</v>
      </c>
      <c r="AJ328" s="36">
        <v>38232.92</v>
      </c>
      <c r="AK328" s="68">
        <f t="shared" si="88"/>
        <v>8649.9819004524888</v>
      </c>
      <c r="AL328" s="68">
        <f t="shared" si="89"/>
        <v>9169.4185520361989</v>
      </c>
      <c r="AM328" s="69">
        <f t="shared" si="90"/>
        <v>519.44000000000005</v>
      </c>
      <c r="AN328" s="67">
        <v>0</v>
      </c>
      <c r="AO328" s="67">
        <v>0</v>
      </c>
    </row>
    <row r="329" spans="1:41" s="3" customFormat="1" ht="15">
      <c r="A329" s="58" t="s">
        <v>485</v>
      </c>
      <c r="B329" s="58" t="s">
        <v>78</v>
      </c>
      <c r="C329" s="58" t="str">
        <f t="shared" si="84"/>
        <v>13167 WILSON CREEK SCHOOL DISTRICT</v>
      </c>
      <c r="D329" s="36">
        <v>0</v>
      </c>
      <c r="E329" s="36">
        <v>0</v>
      </c>
      <c r="F329" s="36">
        <v>0</v>
      </c>
      <c r="G329" s="36">
        <v>174498.77</v>
      </c>
      <c r="H329" s="36">
        <v>19665.240000000002</v>
      </c>
      <c r="I329" s="36">
        <v>34878.58</v>
      </c>
      <c r="J329" s="36">
        <v>50943.88</v>
      </c>
      <c r="K329" s="36">
        <v>0</v>
      </c>
      <c r="L329" s="36">
        <v>0</v>
      </c>
      <c r="M329" s="36">
        <v>272619.53000000003</v>
      </c>
      <c r="N329" s="50">
        <v>6.3500000000000001E-2</v>
      </c>
      <c r="O329" s="53">
        <v>0.29139999999999999</v>
      </c>
      <c r="P329" s="36">
        <v>0</v>
      </c>
      <c r="Q329" s="66">
        <v>0</v>
      </c>
      <c r="R329" s="66">
        <v>0</v>
      </c>
      <c r="S329" s="67">
        <v>0</v>
      </c>
      <c r="T329" s="67">
        <v>0</v>
      </c>
      <c r="U329" s="67">
        <v>0</v>
      </c>
      <c r="V329" s="36">
        <v>0</v>
      </c>
      <c r="W329" s="67">
        <v>0</v>
      </c>
      <c r="X329" s="67">
        <v>0</v>
      </c>
      <c r="Y329" s="36">
        <v>0</v>
      </c>
      <c r="Z329" s="36">
        <v>468.64</v>
      </c>
      <c r="AA329" s="36">
        <v>0</v>
      </c>
      <c r="AB329" s="36">
        <v>38004.120000000003</v>
      </c>
      <c r="AC329" s="36">
        <v>109739.89</v>
      </c>
      <c r="AD329" s="36">
        <v>11.55</v>
      </c>
      <c r="AE329" s="36">
        <v>103168.25</v>
      </c>
      <c r="AF329" s="68">
        <f t="shared" si="85"/>
        <v>8932.3160173160159</v>
      </c>
      <c r="AG329" s="68">
        <f t="shared" si="86"/>
        <v>9501.2891774891777</v>
      </c>
      <c r="AH329" s="69">
        <f t="shared" si="87"/>
        <v>568.97</v>
      </c>
      <c r="AI329" s="36">
        <v>4.1100000000000003</v>
      </c>
      <c r="AJ329" s="36">
        <v>35903.74</v>
      </c>
      <c r="AK329" s="68">
        <f t="shared" si="88"/>
        <v>8735.7031630170313</v>
      </c>
      <c r="AL329" s="68">
        <f t="shared" si="89"/>
        <v>9246.7445255474449</v>
      </c>
      <c r="AM329" s="69">
        <f t="shared" si="90"/>
        <v>511.04</v>
      </c>
      <c r="AN329" s="67">
        <v>0</v>
      </c>
      <c r="AO329" s="67">
        <v>0</v>
      </c>
    </row>
    <row r="330" spans="1:41" s="3" customFormat="1" ht="15">
      <c r="A330" s="58" t="s">
        <v>553</v>
      </c>
      <c r="B330" s="58" t="s">
        <v>146</v>
      </c>
      <c r="C330" s="58" t="str">
        <f t="shared" si="84"/>
        <v>21232 WINLOCK SCHOOL DISTRICT</v>
      </c>
      <c r="D330" s="36">
        <v>0</v>
      </c>
      <c r="E330" s="36">
        <v>201.82</v>
      </c>
      <c r="F330" s="36">
        <v>0</v>
      </c>
      <c r="G330" s="36">
        <v>1364392.29</v>
      </c>
      <c r="H330" s="36">
        <v>173071.05</v>
      </c>
      <c r="I330" s="36">
        <v>244361.45</v>
      </c>
      <c r="J330" s="36">
        <v>395607.66</v>
      </c>
      <c r="K330" s="36">
        <v>69886.38</v>
      </c>
      <c r="L330" s="36">
        <v>23358.07</v>
      </c>
      <c r="M330" s="36">
        <v>733157.68</v>
      </c>
      <c r="N330" s="50">
        <v>1.6899999999999998E-2</v>
      </c>
      <c r="O330" s="53">
        <v>0.20169999999999999</v>
      </c>
      <c r="P330" s="36">
        <v>0</v>
      </c>
      <c r="Q330" s="66">
        <v>0</v>
      </c>
      <c r="R330" s="66">
        <v>0</v>
      </c>
      <c r="S330" s="67">
        <v>0</v>
      </c>
      <c r="T330" s="67">
        <v>0</v>
      </c>
      <c r="U330" s="67">
        <v>0</v>
      </c>
      <c r="V330" s="36">
        <v>0</v>
      </c>
      <c r="W330" s="67">
        <v>0</v>
      </c>
      <c r="X330" s="67">
        <v>0</v>
      </c>
      <c r="Y330" s="36">
        <v>0</v>
      </c>
      <c r="Z330" s="36">
        <v>0</v>
      </c>
      <c r="AA330" s="36">
        <v>0</v>
      </c>
      <c r="AB330" s="36">
        <v>130862.51</v>
      </c>
      <c r="AC330" s="36">
        <v>556109.97</v>
      </c>
      <c r="AD330" s="36">
        <v>57.76</v>
      </c>
      <c r="AE330" s="36">
        <v>516115.93</v>
      </c>
      <c r="AF330" s="68">
        <f t="shared" si="85"/>
        <v>8935.5251038781171</v>
      </c>
      <c r="AG330" s="68">
        <f t="shared" si="86"/>
        <v>9627.9426939058176</v>
      </c>
      <c r="AH330" s="69">
        <f t="shared" si="87"/>
        <v>692.42</v>
      </c>
      <c r="AI330" s="36">
        <v>14.13</v>
      </c>
      <c r="AJ330" s="36">
        <v>123163.28</v>
      </c>
      <c r="AK330" s="68">
        <f t="shared" si="88"/>
        <v>8716.4387827317751</v>
      </c>
      <c r="AL330" s="68">
        <f t="shared" si="89"/>
        <v>9261.324133050246</v>
      </c>
      <c r="AM330" s="69">
        <f t="shared" si="90"/>
        <v>544.89</v>
      </c>
      <c r="AN330" s="67">
        <v>0</v>
      </c>
      <c r="AO330" s="67">
        <v>0</v>
      </c>
    </row>
    <row r="331" spans="1:41" s="3" customFormat="1" ht="15">
      <c r="A331" s="58" t="s">
        <v>497</v>
      </c>
      <c r="B331" s="58" t="s">
        <v>90</v>
      </c>
      <c r="C331" s="58" t="str">
        <f t="shared" si="84"/>
        <v>14117 WISHKAH VALLEY SCHOOL DISTRICT</v>
      </c>
      <c r="D331" s="36">
        <v>0</v>
      </c>
      <c r="E331" s="36">
        <v>0</v>
      </c>
      <c r="F331" s="36">
        <v>0</v>
      </c>
      <c r="G331" s="36">
        <v>236487.16</v>
      </c>
      <c r="H331" s="36">
        <v>30764.71</v>
      </c>
      <c r="I331" s="36">
        <v>47375.37</v>
      </c>
      <c r="J331" s="36">
        <v>72933.16</v>
      </c>
      <c r="K331" s="36">
        <v>0</v>
      </c>
      <c r="L331" s="36">
        <v>0</v>
      </c>
      <c r="M331" s="36">
        <v>112134.14</v>
      </c>
      <c r="N331" s="50">
        <v>5.4199999999999998E-2</v>
      </c>
      <c r="O331" s="53">
        <v>0.31309999999999999</v>
      </c>
      <c r="P331" s="36">
        <v>0</v>
      </c>
      <c r="Q331" s="66">
        <v>0</v>
      </c>
      <c r="R331" s="66">
        <v>0</v>
      </c>
      <c r="S331" s="67">
        <v>0</v>
      </c>
      <c r="T331" s="67">
        <v>0</v>
      </c>
      <c r="U331" s="67">
        <v>0</v>
      </c>
      <c r="V331" s="36">
        <v>0</v>
      </c>
      <c r="W331" s="67">
        <v>0</v>
      </c>
      <c r="X331" s="67">
        <v>0</v>
      </c>
      <c r="Y331" s="36">
        <v>0</v>
      </c>
      <c r="Z331" s="36">
        <v>0</v>
      </c>
      <c r="AA331" s="36">
        <v>0</v>
      </c>
      <c r="AB331" s="36">
        <v>44577.35</v>
      </c>
      <c r="AC331" s="36">
        <v>124878.35</v>
      </c>
      <c r="AD331" s="36">
        <v>13.26</v>
      </c>
      <c r="AE331" s="36">
        <v>117408.55</v>
      </c>
      <c r="AF331" s="68">
        <f t="shared" si="85"/>
        <v>8854.3401206636499</v>
      </c>
      <c r="AG331" s="68">
        <f t="shared" si="86"/>
        <v>9417.6734539969839</v>
      </c>
      <c r="AH331" s="69">
        <f t="shared" si="87"/>
        <v>563.33000000000004</v>
      </c>
      <c r="AI331" s="36">
        <v>4.84</v>
      </c>
      <c r="AJ331" s="36">
        <v>41796.949999999997</v>
      </c>
      <c r="AK331" s="68">
        <f t="shared" si="88"/>
        <v>8635.7334710743798</v>
      </c>
      <c r="AL331" s="68">
        <f t="shared" si="89"/>
        <v>9210.196280991735</v>
      </c>
      <c r="AM331" s="69">
        <f t="shared" si="90"/>
        <v>574.46</v>
      </c>
      <c r="AN331" s="67">
        <v>0</v>
      </c>
      <c r="AO331" s="67">
        <v>0</v>
      </c>
    </row>
    <row r="332" spans="1:41" s="3" customFormat="1" ht="15">
      <c r="A332" s="58" t="s">
        <v>538</v>
      </c>
      <c r="B332" s="58" t="s">
        <v>131</v>
      </c>
      <c r="C332" s="58" t="str">
        <f t="shared" si="84"/>
        <v>20094 WISHRAM SCHOOL DISTRICT</v>
      </c>
      <c r="D332" s="36">
        <v>0</v>
      </c>
      <c r="E332" s="36">
        <v>1747.4</v>
      </c>
      <c r="F332" s="36">
        <v>0</v>
      </c>
      <c r="G332" s="36">
        <v>0</v>
      </c>
      <c r="H332" s="36">
        <v>0</v>
      </c>
      <c r="I332" s="36">
        <v>21090.36</v>
      </c>
      <c r="J332" s="36">
        <v>41245.67</v>
      </c>
      <c r="K332" s="36">
        <v>0</v>
      </c>
      <c r="L332" s="36">
        <v>0</v>
      </c>
      <c r="M332" s="36">
        <v>123240.81</v>
      </c>
      <c r="N332" s="50">
        <v>3.32E-2</v>
      </c>
      <c r="O332" s="53">
        <v>0.4</v>
      </c>
      <c r="P332" s="36">
        <v>0</v>
      </c>
      <c r="Q332" s="66">
        <v>0</v>
      </c>
      <c r="R332" s="66">
        <v>0</v>
      </c>
      <c r="S332" s="67">
        <v>0</v>
      </c>
      <c r="T332" s="67">
        <v>0</v>
      </c>
      <c r="U332" s="67">
        <v>0</v>
      </c>
      <c r="V332" s="36">
        <v>0</v>
      </c>
      <c r="W332" s="67">
        <v>0</v>
      </c>
      <c r="X332" s="67">
        <v>0</v>
      </c>
      <c r="Y332" s="36">
        <v>0</v>
      </c>
      <c r="Z332" s="36">
        <v>0</v>
      </c>
      <c r="AA332" s="36">
        <v>0</v>
      </c>
      <c r="AB332" s="36">
        <v>0</v>
      </c>
      <c r="AC332" s="36">
        <v>73254.83</v>
      </c>
      <c r="AD332" s="36">
        <v>7.99</v>
      </c>
      <c r="AE332" s="36">
        <v>70687.58</v>
      </c>
      <c r="AF332" s="68">
        <f t="shared" si="85"/>
        <v>8847.0062578222787</v>
      </c>
      <c r="AG332" s="68">
        <f t="shared" si="86"/>
        <v>9168.3141426783477</v>
      </c>
      <c r="AH332" s="69">
        <f t="shared" si="87"/>
        <v>321.31</v>
      </c>
      <c r="AI332" s="36">
        <v>0</v>
      </c>
      <c r="AJ332" s="36">
        <v>0</v>
      </c>
      <c r="AK332" s="68">
        <f t="shared" si="88"/>
        <v>0</v>
      </c>
      <c r="AL332" s="68">
        <f t="shared" si="89"/>
        <v>0</v>
      </c>
      <c r="AM332" s="69">
        <f t="shared" si="90"/>
        <v>0</v>
      </c>
      <c r="AN332" s="67">
        <v>0</v>
      </c>
      <c r="AO332" s="67">
        <v>0</v>
      </c>
    </row>
    <row r="333" spans="1:41" s="3" customFormat="1" ht="15">
      <c r="A333" s="58" t="s">
        <v>459</v>
      </c>
      <c r="B333" s="58" t="s">
        <v>52</v>
      </c>
      <c r="C333" s="58" t="str">
        <f t="shared" si="84"/>
        <v>08404 WOODLAND SCHOOL DISTRICT</v>
      </c>
      <c r="D333" s="36">
        <v>0</v>
      </c>
      <c r="E333" s="36">
        <v>0</v>
      </c>
      <c r="F333" s="36">
        <v>0</v>
      </c>
      <c r="G333" s="36">
        <v>4103801.07</v>
      </c>
      <c r="H333" s="36">
        <v>755665.8</v>
      </c>
      <c r="I333" s="36">
        <v>123009.79</v>
      </c>
      <c r="J333" s="36">
        <v>674475.91</v>
      </c>
      <c r="K333" s="36">
        <v>311533.68</v>
      </c>
      <c r="L333" s="36">
        <v>70335.820000000007</v>
      </c>
      <c r="M333" s="36">
        <v>7553903.0999999996</v>
      </c>
      <c r="N333" s="50">
        <v>1.6400000000000001E-2</v>
      </c>
      <c r="O333" s="53">
        <v>0.128</v>
      </c>
      <c r="P333" s="36">
        <v>0</v>
      </c>
      <c r="Q333" s="66">
        <v>0</v>
      </c>
      <c r="R333" s="66">
        <v>0</v>
      </c>
      <c r="S333" s="67">
        <v>0</v>
      </c>
      <c r="T333" s="67">
        <v>0</v>
      </c>
      <c r="U333" s="67">
        <v>0</v>
      </c>
      <c r="V333" s="36">
        <v>0</v>
      </c>
      <c r="W333" s="67">
        <v>0</v>
      </c>
      <c r="X333" s="67">
        <v>0</v>
      </c>
      <c r="Y333" s="36">
        <v>0</v>
      </c>
      <c r="Z333" s="36">
        <v>0</v>
      </c>
      <c r="AA333" s="36">
        <v>0</v>
      </c>
      <c r="AB333" s="36">
        <v>36118.86</v>
      </c>
      <c r="AC333" s="36">
        <v>645040.65</v>
      </c>
      <c r="AD333" s="36">
        <v>68.2</v>
      </c>
      <c r="AE333" s="36">
        <v>603497.92000000004</v>
      </c>
      <c r="AF333" s="68">
        <f t="shared" si="85"/>
        <v>8848.9431085043998</v>
      </c>
      <c r="AG333" s="68">
        <f t="shared" si="86"/>
        <v>9458.0740469208213</v>
      </c>
      <c r="AH333" s="69">
        <f t="shared" si="87"/>
        <v>609.13</v>
      </c>
      <c r="AI333" s="36">
        <v>3.94</v>
      </c>
      <c r="AJ333" s="36">
        <v>33969.629999999997</v>
      </c>
      <c r="AK333" s="68">
        <f t="shared" si="88"/>
        <v>8621.7335025380708</v>
      </c>
      <c r="AL333" s="68">
        <f t="shared" si="89"/>
        <v>9167.2233502538074</v>
      </c>
      <c r="AM333" s="69">
        <f t="shared" si="90"/>
        <v>545.49</v>
      </c>
      <c r="AN333" s="67">
        <v>0</v>
      </c>
      <c r="AO333" s="67">
        <v>0</v>
      </c>
    </row>
    <row r="334" spans="1:41" s="3" customFormat="1" ht="15">
      <c r="A334" s="58" t="s">
        <v>762</v>
      </c>
      <c r="B334" s="58" t="s">
        <v>763</v>
      </c>
      <c r="C334" s="58" t="str">
        <f t="shared" si="84"/>
        <v>39901 YAKAMA SCHOOL DISTRICT</v>
      </c>
      <c r="D334" s="36">
        <v>0</v>
      </c>
      <c r="E334" s="36">
        <v>0</v>
      </c>
      <c r="F334" s="36">
        <v>0</v>
      </c>
      <c r="G334" s="36">
        <v>210418.72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50">
        <v>3.7100000000000001E-2</v>
      </c>
      <c r="O334" s="53">
        <v>0.14399999999999999</v>
      </c>
      <c r="P334" s="36">
        <v>0</v>
      </c>
      <c r="Q334" s="66">
        <v>0</v>
      </c>
      <c r="R334" s="66">
        <v>0</v>
      </c>
      <c r="S334" s="67">
        <v>0</v>
      </c>
      <c r="T334" s="67">
        <v>0</v>
      </c>
      <c r="U334" s="67">
        <v>0</v>
      </c>
      <c r="V334" s="36">
        <v>0</v>
      </c>
      <c r="W334" s="67">
        <v>0</v>
      </c>
      <c r="X334" s="67">
        <v>0</v>
      </c>
      <c r="Y334" s="36">
        <v>0</v>
      </c>
      <c r="Z334" s="36">
        <v>0</v>
      </c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68">
        <f t="shared" si="85"/>
        <v>0</v>
      </c>
      <c r="AG334" s="68">
        <f t="shared" si="86"/>
        <v>0</v>
      </c>
      <c r="AH334" s="69">
        <f t="shared" si="87"/>
        <v>0</v>
      </c>
      <c r="AI334" s="36">
        <v>0</v>
      </c>
      <c r="AJ334" s="36">
        <v>0</v>
      </c>
      <c r="AK334" s="68">
        <f t="shared" si="88"/>
        <v>0</v>
      </c>
      <c r="AL334" s="68">
        <f t="shared" si="89"/>
        <v>0</v>
      </c>
      <c r="AM334" s="69">
        <f t="shared" si="90"/>
        <v>0</v>
      </c>
      <c r="AN334" s="67">
        <v>0</v>
      </c>
      <c r="AO334" s="67">
        <v>0</v>
      </c>
    </row>
    <row r="335" spans="1:41" s="3" customFormat="1" ht="15">
      <c r="A335" s="58" t="s">
        <v>697</v>
      </c>
      <c r="B335" s="58" t="s">
        <v>294</v>
      </c>
      <c r="C335" s="58" t="str">
        <f t="shared" si="84"/>
        <v>39007 YAKIMA SCHOOL DISTRICT</v>
      </c>
      <c r="D335" s="36">
        <v>0</v>
      </c>
      <c r="E335" s="36">
        <v>670729.76</v>
      </c>
      <c r="F335" s="36">
        <v>166757.94</v>
      </c>
      <c r="G335" s="36">
        <v>24549115.84</v>
      </c>
      <c r="H335" s="36">
        <v>5868597.4900000002</v>
      </c>
      <c r="I335" s="36">
        <v>4509388.72</v>
      </c>
      <c r="J335" s="36">
        <v>8683617.3599999994</v>
      </c>
      <c r="K335" s="36">
        <v>7624715.4100000001</v>
      </c>
      <c r="L335" s="36">
        <v>458481.54</v>
      </c>
      <c r="M335" s="36">
        <v>4340730.41</v>
      </c>
      <c r="N335" s="50">
        <v>2.01E-2</v>
      </c>
      <c r="O335" s="53">
        <v>0.1226</v>
      </c>
      <c r="P335" s="36">
        <v>0</v>
      </c>
      <c r="Q335" s="66">
        <v>0</v>
      </c>
      <c r="R335" s="66">
        <v>0</v>
      </c>
      <c r="S335" s="67">
        <v>344344.64999999997</v>
      </c>
      <c r="T335" s="67">
        <v>0</v>
      </c>
      <c r="U335" s="67">
        <v>12111.57</v>
      </c>
      <c r="V335" s="36">
        <v>0</v>
      </c>
      <c r="W335" s="67">
        <v>0</v>
      </c>
      <c r="X335" s="67">
        <v>0</v>
      </c>
      <c r="Y335" s="36">
        <v>0</v>
      </c>
      <c r="Z335" s="36">
        <v>0</v>
      </c>
      <c r="AA335" s="36">
        <v>15.4</v>
      </c>
      <c r="AB335" s="36">
        <v>2005913.31</v>
      </c>
      <c r="AC335" s="36">
        <v>9158728.3900000006</v>
      </c>
      <c r="AD335" s="36">
        <v>977.93</v>
      </c>
      <c r="AE335" s="36">
        <v>8652495.1999999993</v>
      </c>
      <c r="AF335" s="68">
        <f t="shared" si="85"/>
        <v>8847.7653819803054</v>
      </c>
      <c r="AG335" s="68">
        <f t="shared" si="86"/>
        <v>9365.4232818299897</v>
      </c>
      <c r="AH335" s="69">
        <f t="shared" si="87"/>
        <v>517.66</v>
      </c>
      <c r="AI335" s="36">
        <v>218.79</v>
      </c>
      <c r="AJ335" s="36">
        <v>1888217.3</v>
      </c>
      <c r="AK335" s="68">
        <f t="shared" si="88"/>
        <v>8630.2724073312311</v>
      </c>
      <c r="AL335" s="68">
        <f t="shared" si="89"/>
        <v>9168.2129439188266</v>
      </c>
      <c r="AM335" s="69">
        <f t="shared" si="90"/>
        <v>537.94000000000005</v>
      </c>
      <c r="AN335" s="67">
        <v>0</v>
      </c>
      <c r="AO335" s="67">
        <v>0</v>
      </c>
    </row>
    <row r="336" spans="1:41" s="3" customFormat="1" ht="15">
      <c r="A336" s="58" t="s">
        <v>659</v>
      </c>
      <c r="B336" s="58" t="s">
        <v>256</v>
      </c>
      <c r="C336" s="58" t="str">
        <f t="shared" si="84"/>
        <v>34002 YELM SCHOOL DISTRICT</v>
      </c>
      <c r="D336" s="36">
        <v>0</v>
      </c>
      <c r="E336" s="36">
        <v>159224.57999999999</v>
      </c>
      <c r="F336" s="36">
        <v>13379.04</v>
      </c>
      <c r="G336" s="36">
        <v>10182159.68</v>
      </c>
      <c r="H336" s="36">
        <v>1868774.01</v>
      </c>
      <c r="I336" s="36">
        <v>208690.27</v>
      </c>
      <c r="J336" s="36">
        <v>1809231.99</v>
      </c>
      <c r="K336" s="36">
        <v>349606.77</v>
      </c>
      <c r="L336" s="36">
        <v>178080.89</v>
      </c>
      <c r="M336" s="36">
        <v>4855792.08</v>
      </c>
      <c r="N336" s="50">
        <v>3.2399999999999998E-2</v>
      </c>
      <c r="O336" s="53">
        <v>0.14369999999999999</v>
      </c>
      <c r="P336" s="36">
        <v>0</v>
      </c>
      <c r="Q336" s="66">
        <v>0</v>
      </c>
      <c r="R336" s="66">
        <v>0</v>
      </c>
      <c r="S336" s="67">
        <v>0</v>
      </c>
      <c r="T336" s="67">
        <v>0</v>
      </c>
      <c r="U336" s="67">
        <v>0</v>
      </c>
      <c r="V336" s="36">
        <v>0</v>
      </c>
      <c r="W336" s="67">
        <v>0</v>
      </c>
      <c r="X336" s="67">
        <v>0</v>
      </c>
      <c r="Y336" s="36">
        <v>0</v>
      </c>
      <c r="Z336" s="36">
        <v>0</v>
      </c>
      <c r="AA336" s="36">
        <v>314089.2</v>
      </c>
      <c r="AB336" s="36">
        <v>287343.78999999998</v>
      </c>
      <c r="AC336" s="36">
        <v>4494132.72</v>
      </c>
      <c r="AD336" s="36">
        <v>457.49</v>
      </c>
      <c r="AE336" s="36">
        <v>4214568.67</v>
      </c>
      <c r="AF336" s="68">
        <f t="shared" si="85"/>
        <v>9212.3733196354024</v>
      </c>
      <c r="AG336" s="68">
        <f t="shared" si="86"/>
        <v>9823.4556383746094</v>
      </c>
      <c r="AH336" s="69">
        <f t="shared" si="87"/>
        <v>611.08000000000004</v>
      </c>
      <c r="AI336" s="36">
        <v>30.07</v>
      </c>
      <c r="AJ336" s="36">
        <v>270472.28000000003</v>
      </c>
      <c r="AK336" s="68">
        <f t="shared" si="88"/>
        <v>8994.7549052211507</v>
      </c>
      <c r="AL336" s="68">
        <f t="shared" si="89"/>
        <v>9555.829398071166</v>
      </c>
      <c r="AM336" s="69">
        <f t="shared" si="90"/>
        <v>561.07000000000005</v>
      </c>
      <c r="AN336" s="67">
        <v>0</v>
      </c>
      <c r="AO336" s="67">
        <v>0</v>
      </c>
    </row>
    <row r="337" spans="1:41" s="3" customFormat="1" ht="15">
      <c r="A337" s="58" t="s">
        <v>705</v>
      </c>
      <c r="B337" s="58" t="s">
        <v>303</v>
      </c>
      <c r="C337" s="58" t="str">
        <f t="shared" si="84"/>
        <v>39205 ZILLAH SCHOOL DISTRICT</v>
      </c>
      <c r="D337" s="36">
        <v>0</v>
      </c>
      <c r="E337" s="36">
        <v>0</v>
      </c>
      <c r="F337" s="36">
        <v>6326.44</v>
      </c>
      <c r="G337" s="36">
        <v>1701576.44</v>
      </c>
      <c r="H337" s="36">
        <v>212902.19</v>
      </c>
      <c r="I337" s="36">
        <v>394171.53</v>
      </c>
      <c r="J337" s="36">
        <v>584088.64</v>
      </c>
      <c r="K337" s="36">
        <v>284075.42</v>
      </c>
      <c r="L337" s="36">
        <v>38544.449999999997</v>
      </c>
      <c r="M337" s="36">
        <v>590659.44999999995</v>
      </c>
      <c r="N337" s="50">
        <v>7.7799999999999994E-2</v>
      </c>
      <c r="O337" s="53">
        <v>0.24149999999999999</v>
      </c>
      <c r="P337" s="36">
        <v>0</v>
      </c>
      <c r="Q337" s="66">
        <v>0</v>
      </c>
      <c r="R337" s="66">
        <v>0</v>
      </c>
      <c r="S337" s="67">
        <v>0</v>
      </c>
      <c r="T337" s="67">
        <v>0</v>
      </c>
      <c r="U337" s="67">
        <v>0</v>
      </c>
      <c r="V337" s="36">
        <v>0</v>
      </c>
      <c r="W337" s="67">
        <v>0</v>
      </c>
      <c r="X337" s="67">
        <v>0</v>
      </c>
      <c r="Y337" s="36">
        <v>0</v>
      </c>
      <c r="Z337" s="36">
        <v>0</v>
      </c>
      <c r="AA337" s="36">
        <v>43433.87</v>
      </c>
      <c r="AB337" s="36">
        <v>0</v>
      </c>
      <c r="AC337" s="36">
        <v>684605.09</v>
      </c>
      <c r="AD337" s="36">
        <v>73.14</v>
      </c>
      <c r="AE337" s="36">
        <v>647039.94999999995</v>
      </c>
      <c r="AF337" s="68">
        <f t="shared" si="85"/>
        <v>8846.5948865190039</v>
      </c>
      <c r="AG337" s="68">
        <f t="shared" si="86"/>
        <v>9360.2008476893625</v>
      </c>
      <c r="AH337" s="69">
        <f t="shared" si="87"/>
        <v>513.61</v>
      </c>
      <c r="AI337" s="36">
        <v>0</v>
      </c>
      <c r="AJ337" s="36">
        <v>0</v>
      </c>
      <c r="AK337" s="68">
        <f t="shared" si="88"/>
        <v>0</v>
      </c>
      <c r="AL337" s="68">
        <f t="shared" si="89"/>
        <v>0</v>
      </c>
      <c r="AM337" s="69">
        <f t="shared" si="90"/>
        <v>0</v>
      </c>
      <c r="AN337" s="67">
        <v>100</v>
      </c>
      <c r="AO337" s="67">
        <v>0</v>
      </c>
    </row>
    <row r="338" spans="1:41" s="3" customFormat="1"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P338" s="35"/>
      <c r="Q338" s="35"/>
      <c r="R338" s="35"/>
      <c r="S338" s="35"/>
      <c r="T338" s="35"/>
      <c r="U338" s="35"/>
      <c r="V338" s="35"/>
      <c r="W338" s="36"/>
      <c r="X338" s="36"/>
      <c r="Y338" s="35"/>
      <c r="Z338" s="35"/>
      <c r="AA338" s="35"/>
      <c r="AB338" s="35"/>
      <c r="AC338" s="35"/>
      <c r="AD338" s="35"/>
      <c r="AE338" s="37"/>
      <c r="AF338" s="37"/>
      <c r="AG338" s="37"/>
      <c r="AH338" s="35"/>
      <c r="AI338" s="35"/>
      <c r="AJ338" s="37"/>
      <c r="AK338" s="37"/>
      <c r="AL338" s="37"/>
      <c r="AM338" s="37"/>
      <c r="AN338" s="35"/>
      <c r="AO338" s="35"/>
    </row>
    <row r="339" spans="1:41" s="3" customFormat="1">
      <c r="D339" s="38"/>
      <c r="Z339" s="36"/>
    </row>
    <row r="340" spans="1:41">
      <c r="Z340" s="1"/>
    </row>
    <row r="341" spans="1:41">
      <c r="Z341" s="1"/>
    </row>
    <row r="342" spans="1:41">
      <c r="Z342" s="1"/>
    </row>
  </sheetData>
  <autoFilter ref="A6:AO337" xr:uid="{B7B6668D-8735-4CDF-8A59-C29F16617D39}"/>
  <sortState xmlns:xlrd2="http://schemas.microsoft.com/office/spreadsheetml/2017/richdata2" ref="A2:AL333">
    <sortCondition ref="B7:B329"/>
  </sortState>
  <phoneticPr fontId="1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RECOVERY</vt:lpstr>
      <vt:lpstr>ALLOC</vt:lpstr>
      <vt:lpstr>Data</vt:lpstr>
      <vt:lpstr>DISNAME</vt:lpstr>
      <vt:lpstr>RECOVERY!Print_Area</vt:lpstr>
      <vt:lpstr>RECOVERY!Print_Titles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keywords>Recovery;2020-21</cp:keywords>
  <cp:lastModifiedBy>Jackie McDonald</cp:lastModifiedBy>
  <cp:lastPrinted>2017-05-17T19:51:51Z</cp:lastPrinted>
  <dcterms:created xsi:type="dcterms:W3CDTF">2003-10-16T17:39:07Z</dcterms:created>
  <dcterms:modified xsi:type="dcterms:W3CDTF">2024-05-01T20:36:46Z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1115160665</vt:i4>
  </property>
  <property fmtid="{D5CDD505-2E9C-101B-9397-08002B2CF9AE}" pid="3" name="_EmailSubject">
    <vt:lpwstr>Spreadsheet for Recovery Estimates</vt:lpwstr>
  </property>
  <property fmtid="{D5CDD505-2E9C-101B-9397-08002B2CF9AE}" pid="4" name="_AuthorEmail">
    <vt:lpwstr>SShish@ospi.wednet.edu</vt:lpwstr>
  </property>
  <property fmtid="{D5CDD505-2E9C-101B-9397-08002B2CF9AE}" pid="5" name="_AuthorEmailDisplayName">
    <vt:lpwstr>Steve Shish</vt:lpwstr>
  </property>
  <property fmtid="{D5CDD505-2E9C-101B-9397-08002B2CF9AE}" pid="6" name="_ReviewingToolsShownOnce">
    <vt:lpwstr/>
  </property>
</Properties>
</file>